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VII Kadencja Rady Gminy\1. SESJE VII KADENCJA\65. LXV -30.08.18r\projekty uchwał\2. WPF\"/>
    </mc:Choice>
  </mc:AlternateContent>
  <bookViews>
    <workbookView xWindow="0" yWindow="0" windowWidth="28800" windowHeight="12435"/>
  </bookViews>
  <sheets>
    <sheet name="Załącznik 1" sheetId="1" r:id="rId1"/>
  </sheets>
  <calcPr calcId="152511"/>
</workbook>
</file>

<file path=xl/calcChain.xml><?xml version="1.0" encoding="utf-8"?>
<calcChain xmlns="http://schemas.openxmlformats.org/spreadsheetml/2006/main">
  <c r="K103" i="1" l="1"/>
  <c r="J103" i="1"/>
  <c r="I103" i="1"/>
  <c r="H103" i="1"/>
  <c r="G103" i="1"/>
  <c r="F103" i="1"/>
  <c r="E103" i="1"/>
  <c r="D103" i="1"/>
  <c r="C103" i="1"/>
  <c r="K84" i="1"/>
  <c r="J84" i="1"/>
  <c r="I84" i="1"/>
  <c r="H84" i="1"/>
  <c r="G84" i="1"/>
  <c r="F84" i="1"/>
  <c r="E84" i="1"/>
  <c r="D84" i="1"/>
  <c r="C84" i="1"/>
  <c r="K64" i="1"/>
  <c r="J64" i="1"/>
  <c r="I64" i="1"/>
  <c r="H64" i="1"/>
  <c r="G64" i="1"/>
  <c r="F64" i="1"/>
  <c r="E64" i="1"/>
  <c r="D64" i="1"/>
  <c r="C64" i="1"/>
  <c r="F56" i="1"/>
  <c r="E56" i="1"/>
  <c r="D56" i="1"/>
  <c r="C56" i="1"/>
  <c r="F55" i="1"/>
  <c r="E55" i="1"/>
  <c r="D55" i="1"/>
  <c r="C55" i="1"/>
  <c r="I48" i="1"/>
  <c r="E48" i="1"/>
  <c r="J47" i="1"/>
  <c r="F47" i="1"/>
  <c r="K39" i="1"/>
  <c r="J39" i="1"/>
  <c r="I39" i="1"/>
  <c r="H39" i="1"/>
  <c r="H53" i="1" s="1"/>
  <c r="G39" i="1"/>
  <c r="F39" i="1"/>
  <c r="E39" i="1"/>
  <c r="D39" i="1"/>
  <c r="D53" i="1" s="1"/>
  <c r="C39" i="1"/>
  <c r="C53" i="1" s="1"/>
  <c r="K37" i="1"/>
  <c r="J37" i="1"/>
  <c r="I37" i="1"/>
  <c r="H37" i="1"/>
  <c r="G37" i="1"/>
  <c r="F37" i="1"/>
  <c r="E37" i="1"/>
  <c r="D37" i="1"/>
  <c r="C37" i="1"/>
  <c r="K28" i="1"/>
  <c r="J28" i="1"/>
  <c r="I28" i="1"/>
  <c r="H28" i="1"/>
  <c r="G28" i="1"/>
  <c r="F28" i="1"/>
  <c r="E28" i="1"/>
  <c r="D28" i="1"/>
  <c r="C28" i="1"/>
  <c r="K26" i="1"/>
  <c r="K16" i="1" s="1"/>
  <c r="J26" i="1"/>
  <c r="I26" i="1"/>
  <c r="H26" i="1"/>
  <c r="G26" i="1"/>
  <c r="G16" i="1" s="1"/>
  <c r="F26" i="1"/>
  <c r="E26" i="1"/>
  <c r="D26" i="1"/>
  <c r="C26" i="1"/>
  <c r="C16" i="1" s="1"/>
  <c r="K17" i="1"/>
  <c r="J17" i="1"/>
  <c r="J16" i="1" s="1"/>
  <c r="I17" i="1"/>
  <c r="H17" i="1"/>
  <c r="H16" i="1" s="1"/>
  <c r="G17" i="1"/>
  <c r="F17" i="1"/>
  <c r="F16" i="1" s="1"/>
  <c r="E17" i="1"/>
  <c r="D17" i="1"/>
  <c r="D16" i="1" s="1"/>
  <c r="C17" i="1"/>
  <c r="I16" i="1"/>
  <c r="E16" i="1"/>
  <c r="K12" i="1"/>
  <c r="J12" i="1"/>
  <c r="J3" i="1" s="1"/>
  <c r="I12" i="1"/>
  <c r="H12" i="1"/>
  <c r="G12" i="1"/>
  <c r="F12" i="1"/>
  <c r="F3" i="1" s="1"/>
  <c r="E12" i="1"/>
  <c r="D12" i="1"/>
  <c r="C12" i="1"/>
  <c r="K4" i="1"/>
  <c r="K3" i="1" s="1"/>
  <c r="J4" i="1"/>
  <c r="J113" i="1" s="1"/>
  <c r="I4" i="1"/>
  <c r="I47" i="1" s="1"/>
  <c r="H4" i="1"/>
  <c r="H54" i="1" s="1"/>
  <c r="G4" i="1"/>
  <c r="G3" i="1" s="1"/>
  <c r="F4" i="1"/>
  <c r="F113" i="1" s="1"/>
  <c r="E4" i="1"/>
  <c r="E47" i="1" s="1"/>
  <c r="D4" i="1"/>
  <c r="D54" i="1" s="1"/>
  <c r="C4" i="1"/>
  <c r="C3" i="1" s="1"/>
  <c r="H3" i="1"/>
  <c r="D3" i="1"/>
  <c r="D50" i="1" s="1"/>
  <c r="C58" i="1" l="1"/>
  <c r="C57" i="1"/>
  <c r="K53" i="1"/>
  <c r="F115" i="1"/>
  <c r="D58" i="1"/>
  <c r="D57" i="1"/>
  <c r="C114" i="1"/>
  <c r="C115" i="1"/>
  <c r="D114" i="1"/>
  <c r="D115" i="1"/>
  <c r="C50" i="1"/>
  <c r="C27" i="1"/>
  <c r="G50" i="1"/>
  <c r="G27" i="1"/>
  <c r="K50" i="1"/>
  <c r="K27" i="1"/>
  <c r="F53" i="1"/>
  <c r="F50" i="1"/>
  <c r="F27" i="1"/>
  <c r="J50" i="1"/>
  <c r="J53" i="1"/>
  <c r="J27" i="1"/>
  <c r="G51" i="1"/>
  <c r="E53" i="1"/>
  <c r="E114" i="1" s="1"/>
  <c r="H27" i="1"/>
  <c r="F51" i="1"/>
  <c r="J51" i="1"/>
  <c r="C51" i="1"/>
  <c r="K51" i="1"/>
  <c r="E3" i="1"/>
  <c r="I3" i="1"/>
  <c r="C47" i="1"/>
  <c r="G47" i="1"/>
  <c r="K47" i="1"/>
  <c r="F48" i="1"/>
  <c r="J48" i="1"/>
  <c r="D51" i="1"/>
  <c r="H51" i="1"/>
  <c r="G53" i="1"/>
  <c r="F54" i="1"/>
  <c r="J54" i="1"/>
  <c r="D113" i="1"/>
  <c r="H113" i="1"/>
  <c r="H50" i="1"/>
  <c r="G113" i="1"/>
  <c r="K113" i="1"/>
  <c r="D27" i="1"/>
  <c r="D47" i="1"/>
  <c r="H47" i="1"/>
  <c r="C48" i="1"/>
  <c r="G48" i="1"/>
  <c r="K48" i="1"/>
  <c r="E51" i="1"/>
  <c r="C54" i="1"/>
  <c r="G54" i="1"/>
  <c r="K54" i="1"/>
  <c r="E113" i="1"/>
  <c r="I113" i="1"/>
  <c r="C113" i="1"/>
  <c r="D48" i="1"/>
  <c r="H48" i="1"/>
  <c r="G58" i="1" l="1"/>
  <c r="I27" i="1"/>
  <c r="I54" i="1"/>
  <c r="I50" i="1"/>
  <c r="J60" i="1"/>
  <c r="J116" i="1"/>
  <c r="J59" i="1"/>
  <c r="I51" i="1"/>
  <c r="E27" i="1"/>
  <c r="E54" i="1"/>
  <c r="E50" i="1"/>
  <c r="F57" i="1"/>
  <c r="F58" i="1"/>
  <c r="F114" i="1"/>
  <c r="I56" i="1"/>
  <c r="H59" i="1"/>
  <c r="H60" i="1"/>
  <c r="H116" i="1"/>
  <c r="F60" i="1"/>
  <c r="F116" i="1"/>
  <c r="F59" i="1"/>
  <c r="G56" i="1"/>
  <c r="G115" i="1" s="1"/>
  <c r="D59" i="1"/>
  <c r="D60" i="1"/>
  <c r="D116" i="1"/>
  <c r="E57" i="1"/>
  <c r="E58" i="1"/>
  <c r="E115" i="1"/>
  <c r="G116" i="1"/>
  <c r="G59" i="1"/>
  <c r="G60" i="1"/>
  <c r="H56" i="1"/>
  <c r="K116" i="1"/>
  <c r="K59" i="1"/>
  <c r="K60" i="1"/>
  <c r="C116" i="1"/>
  <c r="C59" i="1"/>
  <c r="C60" i="1"/>
  <c r="I53" i="1"/>
  <c r="I58" i="1" l="1"/>
  <c r="I115" i="1"/>
  <c r="E60" i="1"/>
  <c r="E116" i="1"/>
  <c r="E59" i="1"/>
  <c r="K55" i="1"/>
  <c r="K56" i="1"/>
  <c r="J55" i="1"/>
  <c r="H115" i="1"/>
  <c r="H58" i="1"/>
  <c r="I55" i="1"/>
  <c r="I114" i="1" s="1"/>
  <c r="H55" i="1"/>
  <c r="G55" i="1"/>
  <c r="I60" i="1"/>
  <c r="I116" i="1"/>
  <c r="I59" i="1"/>
  <c r="J56" i="1"/>
  <c r="K114" i="1" l="1"/>
  <c r="K57" i="1"/>
  <c r="J115" i="1"/>
  <c r="J58" i="1"/>
  <c r="G114" i="1"/>
  <c r="G57" i="1"/>
  <c r="K115" i="1"/>
  <c r="K58" i="1"/>
  <c r="H114" i="1"/>
  <c r="H57" i="1"/>
  <c r="J114" i="1"/>
  <c r="J57" i="1"/>
  <c r="I57" i="1"/>
</calcChain>
</file>

<file path=xl/sharedStrings.xml><?xml version="1.0" encoding="utf-8"?>
<sst xmlns="http://schemas.openxmlformats.org/spreadsheetml/2006/main" count="316" uniqueCount="230">
  <si>
    <t>Lp.</t>
  </si>
  <si>
    <t>Wyszczególnienie</t>
  </si>
  <si>
    <t>2015</t>
  </si>
  <si>
    <t>2016</t>
  </si>
  <si>
    <t>2017 3kw.</t>
  </si>
  <si>
    <t>2017 pw.</t>
  </si>
  <si>
    <t>2018</t>
  </si>
  <si>
    <t>2019</t>
  </si>
  <si>
    <t>2020</t>
  </si>
  <si>
    <t>2021</t>
  </si>
  <si>
    <t>2022</t>
  </si>
  <si>
    <t>1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</si>
  <si>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</si>
  <si>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</si>
  <si>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</si>
  <si>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</si>
  <si>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</si>
  <si>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</si>
  <si>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</si>
  <si>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</si>
  <si>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</si>
  <si>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</si>
  <si>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</si>
  <si>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</si>
  <si>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</si>
  <si>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</si>
  <si>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</si>
  <si>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1.1.x</t>
  </si>
  <si>
    <t>Inne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</si>
  <si>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</si>
  <si>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</si>
  <si>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</si>
  <si>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</si>
  <si>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</si>
  <si>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</si>
  <si>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</si>
  <si>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</si>
  <si>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</si>
  <si>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</si>
  <si>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</si>
  <si>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</si>
  <si>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</si>
  <si>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</si>
  <si>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</si>
  <si>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</si>
  <si>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wysokości, w jakiej nie podlegają sfinansowaniu dotacją z budżetu państwa</t>
  </si>
  <si>
    <t/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</si>
  <si>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</si>
  <si>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</si>
  <si>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</si>
  <si>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</si>
  <si>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</si>
  <si>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</si>
  <si>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</si>
  <si>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na wkład krajowy</t>
  </si>
  <si>
    <t>2.1.x</t>
  </si>
  <si>
    <t>2.2</t>
  </si>
  <si>
    <t>Wydatki majątkowe</t>
  </si>
  <si>
    <t>3</t>
  </si>
  <si>
    <t>Wynik budżetu</t>
  </si>
  <si>
    <t>4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</si>
  <si>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</si>
  <si>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</si>
  <si>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</si>
  <si>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</si>
  <si>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</si>
  <si>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</si>
  <si>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</si>
  <si>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</si>
  <si>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</si>
  <si>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</si>
  <si>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</si>
  <si>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</si>
  <si>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>Inne przychody niezwiązane z zaciągnięciem długu</t>
  </si>
  <si>
    <t>4.4.1</t>
  </si>
  <si>
    <t>5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</si>
  <si>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</si>
  <si>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</si>
  <si>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</si>
  <si>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</si>
  <si>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</si>
  <si>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</si>
  <si>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w tym 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</si>
  <si>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</si>
  <si>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</si>
  <si>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</si>
  <si>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przypadających na dany rok kwot wyłączeń innych niż określone w art. 243</t>
  </si>
  <si>
    <t>5.2</t>
  </si>
  <si>
    <t>Inne rozchody niezwiązane ze spłatą długu</t>
  </si>
  <si>
    <t>6</t>
  </si>
  <si>
    <t>Kwota długu</t>
  </si>
  <si>
    <t>7</t>
  </si>
  <si>
    <t>Kwota zobowiązań wynikających z przejęcia przez jednostkę samorządu terytorialnego zobowiązań po likwidowanych i przekształcanych jednostkach zaliczanych do sektora  finansów publicznych</t>
  </si>
  <si>
    <t>8</t>
  </si>
  <si>
    <t>Relacja zrównoważenia wydatków bieżących, o której mowa w art. 242 ustawy</t>
  </si>
  <si>
    <t>8.1</t>
  </si>
  <si>
    <t>Różnica między dochodami bieżącymi a  wydatkami bieżącymi</t>
  </si>
  <si>
    <t>8.2</t>
  </si>
  <si>
    <t>Różnica między dochodami bieżącymi, skorygowanymi o środki,  a wydatkami bieżącymi, pomniejszonymi o wydatki</t>
  </si>
  <si>
    <t>9</t>
  </si>
  <si>
    <t>Wskaźnik spłaty zobowiązań</t>
  </si>
  <si>
    <t>9.1</t>
  </si>
  <si>
    <t>Wskaźnik planowanej łącznej kwoty spłaty zobowiązań, o której mowa w art. 243 ust. 1 ustawy, do dochodów, bez uwzględnienia zobowiązań związku współtworzonego przez jednostkę samorządu terytorialnego i bez uwzględniania ustawowych wyłączeń przypadających na dany rok</t>
  </si>
  <si>
    <t>9.2</t>
  </si>
  <si>
    <t>Wskaźnik planowanej łącznej kwoty spłaty zobowiązań, o której mowa w art. 243 ust. 1 ustawy, do dochodów, bez uwzględnienia zobowiązań związku współtworzonego przez jednostkę samorządu terytorialnego, po uwzględnieniu ustawowych wyłączeń przypadających na dany rok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</si>
  <si>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</si>
  <si>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</si>
  <si>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</si>
  <si>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ustawy,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</si>
  <si>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</si>
  <si>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</si>
  <si>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</si>
  <si>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>Dopuszczalny wskaźnik spłaty zobowiązań określony w art. 243 ustawy, po uwzględnieniu ustawowych wyłączeń, obliczony w oparciu o plan 3 kwartu roku poprzedzającego pierwszy rok prognozy (wskaźnik ustalony w oparciu o średnią arytmetyczną z 3 poprzednich lat)</t>
  </si>
  <si>
    <t>9.6.1</t>
  </si>
  <si>
    <t>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</si>
  <si>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</si>
  <si>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</si>
  <si>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</si>
  <si>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</si>
  <si>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10</t>
  </si>
  <si>
    <t>Przeznaczenie prognozowanej nadwyżki budżetowej,  w tym na:</t>
  </si>
  <si>
    <t>10.1</t>
  </si>
  <si>
    <t>Spłaty kredytów, pożyczek i wykup papierów wartościowych</t>
  </si>
  <si>
    <t>11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</si>
  <si>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</si>
  <si>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</si>
  <si>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</si>
  <si>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</si>
  <si>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</si>
  <si>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</si>
  <si>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</si>
  <si>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</si>
  <si>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</si>
  <si>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</si>
  <si>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</si>
  <si>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</si>
  <si>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>Wydatki inwestycyjne kontynuowane</t>
  </si>
  <si>
    <t>11.5</t>
  </si>
  <si>
    <t>Nowe wydatki inwestycyjne</t>
  </si>
  <si>
    <t>11.6</t>
  </si>
  <si>
    <t>Wydatki majątkowe w formie dotacji</t>
  </si>
  <si>
    <t>11.x</t>
  </si>
  <si>
    <t>12</t>
  </si>
  <si>
    <t>Finansowanie programów, projektów lub zadań realizowanych z udziałem środków, o których mowa w art. 5 ust. 1 pkt 2 i 3 ustawy</t>
  </si>
  <si>
    <t>12.1</t>
  </si>
  <si>
    <t>Dochody bieżące na programy, projekty lub zadania finansowane z udziałem środków, o których mowa w art. 5 ust. 1 pkt 2 i 3 ustawy</t>
  </si>
  <si>
    <t>12.1.1</t>
  </si>
  <si>
    <t>-  w tym środki określone w art. 5 ust. 1 pkt 2 ustawy</t>
  </si>
  <si>
    <t>12.1.1.1</t>
  </si>
  <si>
    <t>- w tym środki określone w art. 5 ust. 1 pkt 2 ustawy wynikające wyłącznie z  zawartych umów na realizację programu, projektu lub zadania</t>
  </si>
  <si>
    <t>12.2</t>
  </si>
  <si>
    <t>Dochody majątkowe  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</si>
  <si>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</si>
  <si>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</si>
  <si>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</si>
  <si>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</si>
  <si>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</si>
  <si>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</si>
  <si>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>-  w tym finansowane środkami określonymi w art. 5 ust. 1 pkt 2 ustawy</t>
  </si>
  <si>
    <t>12.3.2</t>
  </si>
  <si>
    <t>Wydatki bieżące na realizację programu, projektu lub zadania wynikające wyłącznie z zawartych umów z podmiotem dysponującym środkami, o których mowa w art. 5 ust. 1 pkt 2 ustawy</t>
  </si>
  <si>
    <t>12.4</t>
  </si>
  <si>
    <t>Wydatki majątkowe na programy, projekty lub zadania finansowane z udziałem środków, o których mowa w art. 5 ust. 1 pkt 2 i 3 ustawy</t>
  </si>
  <si>
    <t>12.4.1</t>
  </si>
  <si>
    <t>12.4.2</t>
  </si>
  <si>
    <t>Wydatki majątkowe na realizację programu, projektu lub zadania wynikające wyłącznie z zawartych umów z podmiotem dysponującym środkami, o których mowa w art. 5 ust. 1 pkt 2 ustawy</t>
  </si>
  <si>
    <t>12.5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</si>
  <si>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</si>
  <si>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12.5.1</t>
  </si>
  <si>
    <t xml:space="preserve"> - 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</si>
  <si>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</si>
  <si>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</si>
  <si>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</si>
  <si>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</si>
  <si>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>Przychody z tytułu kredytów, pożyczek, emisji papierów wartościowych powstające w związku z umową na realizację programu, projektu lub zadania finansowanego z udziałem środków, o których mowa w art. 5 ust. 1 pkt 2 ustawy,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</si>
  <si>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</si>
  <si>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</si>
  <si>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umowa na realizację programu, projektu lub zadania finansowanego w co najmniej 60% środkami, o których mowa w art. 5 ust. 1 pkt 2 ustawy</t>
  </si>
  <si>
    <t>12.8.1</t>
  </si>
  <si>
    <t>13</t>
  </si>
  <si>
    <t>Kwoty dotyczące przejęcia i spłaty zobowiązań po samodzielnych publicznych zakładach opieki zdrowotnej oraz pokrycia ujemnego wyniku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</si>
  <si>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</si>
  <si>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</si>
  <si>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</si>
  <si>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 z 2013 r. poz. 217,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</si>
  <si>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</si>
  <si>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</si>
  <si>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</si>
  <si>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 o działalności leczniczej</t>
  </si>
  <si>
    <t>13.5</t>
  </si>
  <si>
    <t>Wydatki na spłatę przejętych zobowiązań samodzielnego publicznego zakładu opieki zdrowotnej likwidowanego na zasadach określonych w przepisach  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</si>
  <si>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</si>
  <si>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</si>
  <si>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</si>
  <si>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</si>
  <si>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14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</si>
  <si>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</si>
  <si>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</si>
  <si>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</si>
  <si>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</si>
  <si>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</si>
  <si>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</si>
  <si>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</si>
  <si>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</si>
  <si>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</si>
  <si>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</si>
  <si>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</si>
  <si>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</si>
  <si>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</si>
  <si>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</si>
  <si>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</si>
  <si>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15</t>
  </si>
  <si>
    <t>Dane dotyczące emitowanych obligacji przychodowych</t>
  </si>
  <si>
    <t>15.1</t>
  </si>
  <si>
    <t>Środki z przedsięwzięcia gromadzone na rachunku bankowym, w tym:</t>
  </si>
  <si>
    <t>15.1.1</t>
  </si>
  <si>
    <t>środki na zaspokojenie roszczeń obligatariuszy</t>
  </si>
  <si>
    <t>15.2</t>
  </si>
  <si>
    <t>Wydatki bieżące z tytułu świadczenia emitenta należnego obligatariuszom, nieuwzględniane w limicie spłaty zobowiązań, o którym mowa w art. 243 ustawy</t>
  </si>
  <si>
    <t>16</t>
  </si>
  <si>
    <t>Stopnie niezachowania relacji określonych w art. 242-244 ustawy w przypadku określonym w ...** ustawy</t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</si>
  <si>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</si>
  <si>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</si>
  <si>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</si>
  <si>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</si>
  <si>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</si>
  <si>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</si>
  <si>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17</t>
  </si>
  <si>
    <t>Rozliczenie budżetu</t>
  </si>
  <si>
    <t xml:space="preserve">załącznik do uchwały Nr LXV/400/18 Rady Gminy Rewal z dnia 30.08.2018r.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</si>
</sst>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b/>
      <sz val="8"/>
      <color rgb="FFFF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rgb="FFCD5C5C"/>
      </patternFill>
    </fill>
    <fill>
      <patternFill patternType="solid">
        <fgColor rgb="FFADFF2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/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 wrapText="1"/>
    </xf>
    <xf numFmtId="10" fontId="1" fillId="3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 wrapText="1"/>
    </xf>
    <xf numFmtId="10" fontId="2" fillId="3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8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x14ac:dyDescent="0.25"/>
  <cols>
    <col min="1" max="1" width="7.140625" customWidth="1"/>
    <col min="2" max="2" width="41.7109375" customWidth="1"/>
    <col min="3" max="6" width="14.28515625" hidden="1" customWidth="1"/>
    <col min="7" max="11" width="14.28515625" customWidth="1"/>
  </cols>
  <sheetData>
    <row r="1" spans="1:11" x14ac:dyDescent="0.25">
      <c r="B1" t="s">
        <v>229</v>
      </c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4.25" customHeight="1" x14ac:dyDescent="0.25">
      <c r="A3" s="2" t="s">
        <v>11</v>
      </c>
      <c r="B3" s="3" t="s">
        <v>12</v>
      </c>
      <c r="C3" s="4">
        <f>IF(ISNUMBER(VLOOKUP("1.1",A3:K117,3,FALSE)),VLOOKUP("1.1",A3:K117,3,FALSE),0) + IF(ISNUMBER(VLOOKUP("1.2",A3:K117,3,FALSE)),VLOOKUP("1.2",A3:K117,3,FALSE),0)</f>
        <v>53233329.519999996</v>
      </c>
      <c r="D3" s="4">
        <f>IF(ISNUMBER(VLOOKUP("1.1",A3:K117,4,FALSE)),VLOOKUP("1.1",A3:K117,4,FALSE),0) + IF(ISNUMBER(VLOOKUP("1.2",A3:K117,4,FALSE)),VLOOKUP("1.2",A3:K117,4,FALSE),0)</f>
        <v>78039751.219999999</v>
      </c>
      <c r="E3" s="4">
        <f>IF(ISNUMBER(VLOOKUP("1.1",A3:K117,5,FALSE)),VLOOKUP("1.1",A3:K117,5,FALSE),0) + IF(ISNUMBER(VLOOKUP("1.2",A3:K117,5,FALSE)),VLOOKUP("1.2",A3:K117,5,FALSE),0)</f>
        <v>102581062.06</v>
      </c>
      <c r="F3" s="4">
        <f>IF(ISNUMBER(VLOOKUP("1.1",A3:K117,6,FALSE)),VLOOKUP("1.1",A3:K117,6,FALSE),0) + IF(ISNUMBER(VLOOKUP("1.2",A3:K117,6,FALSE)),VLOOKUP("1.2",A3:K117,6,FALSE),0)</f>
        <v>105377749.42</v>
      </c>
      <c r="G3" s="4">
        <f>IF(ISNUMBER(VLOOKUP("1.1",A3:K117,7,FALSE)),VLOOKUP("1.1",A3:K117,7,FALSE),0) + IF(ISNUMBER(VLOOKUP("1.2",A3:K117,7,FALSE)),VLOOKUP("1.2",A3:K117,7,FALSE),0)</f>
        <v>56231620.29999999</v>
      </c>
      <c r="H3" s="4">
        <f>IF(ISNUMBER(VLOOKUP("1.1",A3:K117,8,FALSE)),VLOOKUP("1.1",A3:K117,8,FALSE),0) + IF(ISNUMBER(VLOOKUP("1.2",A3:K117,8,FALSE)),VLOOKUP("1.2",A3:K117,8,FALSE),0)</f>
        <v>53677708</v>
      </c>
      <c r="I3" s="4">
        <f>IF(ISNUMBER(VLOOKUP("1.1",A3:K117,9,FALSE)),VLOOKUP("1.1",A3:K117,9,FALSE),0) + IF(ISNUMBER(VLOOKUP("1.2",A3:K117,9,FALSE)),VLOOKUP("1.2",A3:K117,9,FALSE),0)</f>
        <v>54746073</v>
      </c>
      <c r="J3" s="4">
        <f>IF(ISNUMBER(VLOOKUP("1.1",A3:K117,10,FALSE)),VLOOKUP("1.1",A3:K117,10,FALSE),0) + IF(ISNUMBER(VLOOKUP("1.2",A3:K117,10,FALSE)),VLOOKUP("1.2",A3:K117,10,FALSE),0)</f>
        <v>54632740</v>
      </c>
      <c r="K3" s="4">
        <f>IF(ISNUMBER(VLOOKUP("1.1",A3:K117,11,FALSE)),VLOOKUP("1.1",A3:K117,11,FALSE),0) + IF(ISNUMBER(VLOOKUP("1.2",A3:K117,11,FALSE)),VLOOKUP("1.2",A3:K117,11,FALSE),0)</f>
        <v>55823986</v>
      </c>
    </row>
    <row r="4" spans="1:11" ht="14.25" customHeight="1" x14ac:dyDescent="0.25">
      <c r="A4" s="2" t="s">
        <v>13</v>
      </c>
      <c r="B4" s="3" t="s">
        <v>14</v>
      </c>
      <c r="C4" s="4">
        <f>IF(ISNUMBER(VLOOKUP("1.1.1",A3:K117,3,FALSE)),VLOOKUP("1.1.1",A3:K117,3,FALSE),0) + IF(ISNUMBER(VLOOKUP("1.1.2",A3:K117,3,FALSE)),VLOOKUP("1.1.2",A3:K117,3,FALSE),0) + IF(ISNUMBER(VLOOKUP("1.1.3",A3:K117,3,FALSE)),VLOOKUP("1.1.3",A3:K117,3,FALSE),0) + IF(ISNUMBER(VLOOKUP("1.1.4",A3:K117,3,FALSE)),VLOOKUP("1.1.4",A3:K117,3,FALSE),0) + IF(ISNUMBER(VLOOKUP("1.1.5",A3:K117,3,FALSE)),VLOOKUP("1.1.5",A3:K117,3,FALSE),0) + IF(ISNUMBER(VLOOKUP("1.1.x",A3:K117,3,FALSE)),VLOOKUP("1.1.x",A3:K117,3,FALSE),0)</f>
        <v>41169918.359999999</v>
      </c>
      <c r="D4" s="4">
        <f>IF(ISNUMBER(VLOOKUP("1.1.1",A3:K117,4,FALSE)),VLOOKUP("1.1.1",A3:K117,4,FALSE),0) + IF(ISNUMBER(VLOOKUP("1.1.2",A3:K117,4,FALSE)),VLOOKUP("1.1.2",A3:K117,4,FALSE),0) + IF(ISNUMBER(VLOOKUP("1.1.3",A3:K117,4,FALSE)),VLOOKUP("1.1.3",A3:K117,4,FALSE),0) + IF(ISNUMBER(VLOOKUP("1.1.4",A3:K117,4,FALSE)),VLOOKUP("1.1.4",A3:K117,4,FALSE),0) + IF(ISNUMBER(VLOOKUP("1.1.5",A3:K117,4,FALSE)),VLOOKUP("1.1.5",A3:K117,4,FALSE),0) + IF(ISNUMBER(VLOOKUP("1.1.x",A3:K117,4,FALSE)),VLOOKUP("1.1.x",A3:K117,4,FALSE),0)</f>
        <v>45896510.25</v>
      </c>
      <c r="E4" s="4">
        <f>IF(ISNUMBER(VLOOKUP("1.1.1",A3:K117,5,FALSE)),VLOOKUP("1.1.1",A3:K117,5,FALSE),0) + IF(ISNUMBER(VLOOKUP("1.1.2",A3:K117,5,FALSE)),VLOOKUP("1.1.2",A3:K117,5,FALSE),0) + IF(ISNUMBER(VLOOKUP("1.1.3",A3:K117,5,FALSE)),VLOOKUP("1.1.3",A3:K117,5,FALSE),0) + IF(ISNUMBER(VLOOKUP("1.1.4",A3:K117,5,FALSE)),VLOOKUP("1.1.4",A3:K117,5,FALSE),0) + IF(ISNUMBER(VLOOKUP("1.1.5",A3:K117,5,FALSE)),VLOOKUP("1.1.5",A3:K117,5,FALSE),0) + IF(ISNUMBER(VLOOKUP("1.1.x",A3:K117,5,FALSE)),VLOOKUP("1.1.x",A3:K117,5,FALSE),0)</f>
        <v>49291062.060000002</v>
      </c>
      <c r="F4" s="4">
        <f>IF(ISNUMBER(VLOOKUP("1.1.1",A3:K117,6,FALSE)),VLOOKUP("1.1.1",A3:K117,6,FALSE),0) + IF(ISNUMBER(VLOOKUP("1.1.2",A3:K117,6,FALSE)),VLOOKUP("1.1.2",A3:K117,6,FALSE),0) + IF(ISNUMBER(VLOOKUP("1.1.3",A3:K117,6,FALSE)),VLOOKUP("1.1.3",A3:K117,6,FALSE),0) + IF(ISNUMBER(VLOOKUP("1.1.4",A3:K117,6,FALSE)),VLOOKUP("1.1.4",A3:K117,6,FALSE),0) + IF(ISNUMBER(VLOOKUP("1.1.5",A3:K117,6,FALSE)),VLOOKUP("1.1.5",A3:K117,6,FALSE),0) + IF(ISNUMBER(VLOOKUP("1.1.x",A3:K117,6,FALSE)),VLOOKUP("1.1.x",A3:K117,6,FALSE),0)</f>
        <v>46046609.079999998</v>
      </c>
      <c r="G4" s="4">
        <f>IF(ISNUMBER(VLOOKUP("1.1.1",A3:K117,7,FALSE)),VLOOKUP("1.1.1",A3:K117,7,FALSE),0) + IF(ISNUMBER(VLOOKUP("1.1.2",A3:K117,7,FALSE)),VLOOKUP("1.1.2",A3:K117,7,FALSE),0) + IF(ISNUMBER(VLOOKUP("1.1.3",A3:K117,7,FALSE)),VLOOKUP("1.1.3",A3:K117,7,FALSE),0) + IF(ISNUMBER(VLOOKUP("1.1.4",A3:K117,7,FALSE)),VLOOKUP("1.1.4",A3:K117,7,FALSE),0) + IF(ISNUMBER(VLOOKUP("1.1.5",A3:K117,7,FALSE)),VLOOKUP("1.1.5",A3:K117,7,FALSE),0) + IF(ISNUMBER(VLOOKUP("1.1.x",A3:K117,7,FALSE)),VLOOKUP("1.1.x",A3:K117,7,FALSE),0)</f>
        <v>50193512.29999999</v>
      </c>
      <c r="H4" s="4">
        <f>IF(ISNUMBER(VLOOKUP("1.1.1",A3:K117,8,FALSE)),VLOOKUP("1.1.1",A3:K117,8,FALSE),0) + IF(ISNUMBER(VLOOKUP("1.1.2",A3:K117,8,FALSE)),VLOOKUP("1.1.2",A3:K117,8,FALSE),0) + IF(ISNUMBER(VLOOKUP("1.1.3",A3:K117,8,FALSE)),VLOOKUP("1.1.3",A3:K117,8,FALSE),0) + IF(ISNUMBER(VLOOKUP("1.1.4",A3:K117,8,FALSE)),VLOOKUP("1.1.4",A3:K117,8,FALSE),0) + IF(ISNUMBER(VLOOKUP("1.1.5",A3:K117,8,FALSE)),VLOOKUP("1.1.5",A3:K117,8,FALSE),0) + IF(ISNUMBER(VLOOKUP("1.1.x",A3:K117,8,FALSE)),VLOOKUP("1.1.x",A3:K117,8,FALSE),0)</f>
        <v>52277708</v>
      </c>
      <c r="I4" s="4">
        <f>IF(ISNUMBER(VLOOKUP("1.1.1",A3:K117,9,FALSE)),VLOOKUP("1.1.1",A3:K117,9,FALSE),0) + IF(ISNUMBER(VLOOKUP("1.1.2",A3:K117,9,FALSE)),VLOOKUP("1.1.2",A3:K117,9,FALSE),0) + IF(ISNUMBER(VLOOKUP("1.1.3",A3:K117,9,FALSE)),VLOOKUP("1.1.3",A3:K117,9,FALSE),0) + IF(ISNUMBER(VLOOKUP("1.1.4",A3:K117,9,FALSE)),VLOOKUP("1.1.4",A3:K117,9,FALSE),0) + IF(ISNUMBER(VLOOKUP("1.1.5",A3:K117,9,FALSE)),VLOOKUP("1.1.5",A3:K117,9,FALSE),0) + IF(ISNUMBER(VLOOKUP("1.1.x",A3:K117,9,FALSE)),VLOOKUP("1.1.x",A3:K117,9,FALSE),0)</f>
        <v>53296073</v>
      </c>
      <c r="J4" s="4">
        <f>IF(ISNUMBER(VLOOKUP("1.1.1",A3:K117,10,FALSE)),VLOOKUP("1.1.1",A3:K117,10,FALSE),0) + IF(ISNUMBER(VLOOKUP("1.1.2",A3:K117,10,FALSE)),VLOOKUP("1.1.2",A3:K117,10,FALSE),0) + IF(ISNUMBER(VLOOKUP("1.1.3",A3:K117,10,FALSE)),VLOOKUP("1.1.3",A3:K117,10,FALSE),0) + IF(ISNUMBER(VLOOKUP("1.1.4",A3:K117,10,FALSE)),VLOOKUP("1.1.4",A3:K117,10,FALSE),0) + IF(ISNUMBER(VLOOKUP("1.1.5",A3:K117,10,FALSE)),VLOOKUP("1.1.5",A3:K117,10,FALSE),0) + IF(ISNUMBER(VLOOKUP("1.1.x",A3:K117,10,FALSE)),VLOOKUP("1.1.x",A3:K117,10,FALSE),0)</f>
        <v>54632740</v>
      </c>
      <c r="K4" s="4">
        <f>IF(ISNUMBER(VLOOKUP("1.1.1",A3:K117,11,FALSE)),VLOOKUP("1.1.1",A3:K117,11,FALSE),0) + IF(ISNUMBER(VLOOKUP("1.1.2",A3:K117,11,FALSE)),VLOOKUP("1.1.2",A3:K117,11,FALSE),0) + IF(ISNUMBER(VLOOKUP("1.1.3",A3:K117,11,FALSE)),VLOOKUP("1.1.3",A3:K117,11,FALSE),0) + IF(ISNUMBER(VLOOKUP("1.1.4",A3:K117,11,FALSE)),VLOOKUP("1.1.4",A3:K117,11,FALSE),0) + IF(ISNUMBER(VLOOKUP("1.1.5",A3:K117,11,FALSE)),VLOOKUP("1.1.5",A3:K117,11,FALSE),0) + IF(ISNUMBER(VLOOKUP("1.1.x",A3:K117,11,FALSE)),VLOOKUP("1.1.x",A3:K117,11,FALSE),0)</f>
        <v>55823986</v>
      </c>
    </row>
    <row r="5" spans="1:11" ht="27" customHeight="1" x14ac:dyDescent="0.25">
      <c r="A5" s="5" t="s">
        <v>15</v>
      </c>
      <c r="B5" s="6" t="s">
        <v>16</v>
      </c>
      <c r="C5" s="7">
        <v>3586456</v>
      </c>
      <c r="D5" s="7">
        <v>4075367</v>
      </c>
      <c r="E5" s="7">
        <v>4564121</v>
      </c>
      <c r="F5" s="7">
        <v>4665763</v>
      </c>
      <c r="G5" s="8">
        <v>5637484</v>
      </c>
      <c r="H5" s="8">
        <v>5851708</v>
      </c>
      <c r="I5" s="8">
        <v>6074073</v>
      </c>
      <c r="J5" s="8">
        <v>6292740</v>
      </c>
      <c r="K5" s="8">
        <v>6512986</v>
      </c>
    </row>
    <row r="6" spans="1:11" ht="27" customHeight="1" x14ac:dyDescent="0.25">
      <c r="A6" s="5" t="s">
        <v>17</v>
      </c>
      <c r="B6" s="6" t="s">
        <v>18</v>
      </c>
      <c r="C6" s="7">
        <v>127700.68</v>
      </c>
      <c r="D6" s="7">
        <v>103189.56</v>
      </c>
      <c r="E6" s="7">
        <v>84000</v>
      </c>
      <c r="F6" s="7">
        <v>92893.48</v>
      </c>
      <c r="G6" s="8">
        <v>87000</v>
      </c>
      <c r="H6" s="8">
        <v>90000</v>
      </c>
      <c r="I6" s="8">
        <v>93000</v>
      </c>
      <c r="J6" s="8">
        <v>96000</v>
      </c>
      <c r="K6" s="8">
        <v>99000</v>
      </c>
    </row>
    <row r="7" spans="1:11" ht="14.25" customHeight="1" x14ac:dyDescent="0.25">
      <c r="A7" s="5" t="s">
        <v>19</v>
      </c>
      <c r="B7" s="6" t="s">
        <v>20</v>
      </c>
      <c r="C7" s="7">
        <v>25456926.829999998</v>
      </c>
      <c r="D7" s="7">
        <v>28038682.449999999</v>
      </c>
      <c r="E7" s="7">
        <v>29897085</v>
      </c>
      <c r="F7" s="7">
        <v>28048054.309999999</v>
      </c>
      <c r="G7" s="8">
        <v>30721834.239999998</v>
      </c>
      <c r="H7" s="8">
        <v>31269000</v>
      </c>
      <c r="I7" s="8">
        <v>31608000</v>
      </c>
      <c r="J7" s="8">
        <v>32276000</v>
      </c>
      <c r="K7" s="8">
        <v>32791000</v>
      </c>
    </row>
    <row r="8" spans="1:11" ht="14.25" customHeight="1" x14ac:dyDescent="0.25">
      <c r="A8" s="5" t="s">
        <v>21</v>
      </c>
      <c r="B8" s="6" t="s">
        <v>22</v>
      </c>
      <c r="C8" s="7">
        <v>14577234.869999999</v>
      </c>
      <c r="D8" s="7">
        <v>15908332.58</v>
      </c>
      <c r="E8" s="7">
        <v>16793514</v>
      </c>
      <c r="F8" s="7">
        <v>14729907.140000001</v>
      </c>
      <c r="G8" s="8">
        <v>17333319</v>
      </c>
      <c r="H8" s="8">
        <v>17924041</v>
      </c>
      <c r="I8" s="8">
        <v>18551468</v>
      </c>
      <c r="J8" s="8">
        <v>18547000</v>
      </c>
      <c r="K8" s="8">
        <v>18904000</v>
      </c>
    </row>
    <row r="9" spans="1:11" ht="14.25" customHeight="1" x14ac:dyDescent="0.25">
      <c r="A9" s="5" t="s">
        <v>23</v>
      </c>
      <c r="B9" s="6" t="s">
        <v>24</v>
      </c>
      <c r="C9" s="7">
        <v>3981624</v>
      </c>
      <c r="D9" s="7">
        <v>3895143</v>
      </c>
      <c r="E9" s="7">
        <v>4056391</v>
      </c>
      <c r="F9" s="7">
        <v>4415959</v>
      </c>
      <c r="G9" s="8">
        <v>4065968</v>
      </c>
      <c r="H9" s="8">
        <v>4220000</v>
      </c>
      <c r="I9" s="8">
        <v>4294000</v>
      </c>
      <c r="J9" s="8">
        <v>4364000</v>
      </c>
      <c r="K9" s="8">
        <v>4436000</v>
      </c>
    </row>
    <row r="10" spans="1:11" ht="14.25" customHeight="1" x14ac:dyDescent="0.25">
      <c r="A10" s="5" t="s">
        <v>25</v>
      </c>
      <c r="B10" s="6" t="s">
        <v>26</v>
      </c>
      <c r="C10" s="7">
        <v>1839110.81</v>
      </c>
      <c r="D10" s="7">
        <v>3231557.56</v>
      </c>
      <c r="E10" s="7">
        <v>3494320.06</v>
      </c>
      <c r="F10" s="7">
        <v>3620377.02</v>
      </c>
      <c r="G10" s="8">
        <v>3588880.3</v>
      </c>
      <c r="H10" s="8">
        <v>3308000</v>
      </c>
      <c r="I10" s="8">
        <v>3424000</v>
      </c>
      <c r="J10" s="8">
        <v>3539000</v>
      </c>
      <c r="K10" s="8">
        <v>3655000</v>
      </c>
    </row>
    <row r="11" spans="1:11" hidden="1" x14ac:dyDescent="0.25">
      <c r="A11" s="5" t="s">
        <v>27</v>
      </c>
      <c r="B11" s="6" t="s">
        <v>28</v>
      </c>
      <c r="C11" s="7">
        <v>6178100.04</v>
      </c>
      <c r="D11" s="7">
        <v>6552570.6799999997</v>
      </c>
      <c r="E11" s="7">
        <v>7195145</v>
      </c>
      <c r="F11" s="7">
        <v>5203562.2699999996</v>
      </c>
      <c r="G11" s="8">
        <v>6092345.7599999998</v>
      </c>
      <c r="H11" s="8">
        <v>7539000</v>
      </c>
      <c r="I11" s="8">
        <v>7803000</v>
      </c>
      <c r="J11" s="8">
        <v>8065000</v>
      </c>
      <c r="K11" s="8">
        <v>8330000</v>
      </c>
    </row>
    <row r="12" spans="1:11" ht="14.25" customHeight="1" x14ac:dyDescent="0.25">
      <c r="A12" s="2" t="s">
        <v>29</v>
      </c>
      <c r="B12" s="3" t="s">
        <v>30</v>
      </c>
      <c r="C12" s="4">
        <f>IF(ISNUMBER(VLOOKUP("1.2.1",A3:K117,3,FALSE)),VLOOKUP("1.2.1",A3:K117,3,FALSE),0) + IF(ISNUMBER(VLOOKUP("1.2.2",A3:K117,3,FALSE)),VLOOKUP("1.2.2",A3:K117,3,FALSE),0) + IF(ISNUMBER(VLOOKUP("1.2.x",A3:K117,3,FALSE)),VLOOKUP("1.2.x",A3:K117,3,FALSE),0)</f>
        <v>12063411.159999998</v>
      </c>
      <c r="D12" s="4">
        <f>IF(ISNUMBER(VLOOKUP("1.2.1",A3:K117,4,FALSE)),VLOOKUP("1.2.1",A3:K117,4,FALSE),0) + IF(ISNUMBER(VLOOKUP("1.2.2",A3:K117,4,FALSE)),VLOOKUP("1.2.2",A3:K117,4,FALSE),0) + IF(ISNUMBER(VLOOKUP("1.2.x",A3:K117,4,FALSE)),VLOOKUP("1.2.x",A3:K117,4,FALSE),0)</f>
        <v>32143240.969999999</v>
      </c>
      <c r="E12" s="4">
        <f>IF(ISNUMBER(VLOOKUP("1.2.1",A3:K117,5,FALSE)),VLOOKUP("1.2.1",A3:K117,5,FALSE),0) + IF(ISNUMBER(VLOOKUP("1.2.2",A3:K117,5,FALSE)),VLOOKUP("1.2.2",A3:K117,5,FALSE),0) + IF(ISNUMBER(VLOOKUP("1.2.x",A3:K117,5,FALSE)),VLOOKUP("1.2.x",A3:K117,5,FALSE),0)</f>
        <v>53290000</v>
      </c>
      <c r="F12" s="4">
        <f>IF(ISNUMBER(VLOOKUP("1.2.1",A3:K117,6,FALSE)),VLOOKUP("1.2.1",A3:K117,6,FALSE),0) + IF(ISNUMBER(VLOOKUP("1.2.2",A3:K117,6,FALSE)),VLOOKUP("1.2.2",A3:K117,6,FALSE),0) + IF(ISNUMBER(VLOOKUP("1.2.x",A3:K117,6,FALSE)),VLOOKUP("1.2.x",A3:K117,6,FALSE),0)</f>
        <v>59331140.340000004</v>
      </c>
      <c r="G12" s="4">
        <f>IF(ISNUMBER(VLOOKUP("1.2.1",A3:K117,7,FALSE)),VLOOKUP("1.2.1",A3:K117,7,FALSE),0) + IF(ISNUMBER(VLOOKUP("1.2.2",A3:K117,7,FALSE)),VLOOKUP("1.2.2",A3:K117,7,FALSE),0) + IF(ISNUMBER(VLOOKUP("1.2.x",A3:K117,7,FALSE)),VLOOKUP("1.2.x",A3:K117,7,FALSE),0)</f>
        <v>6038108</v>
      </c>
      <c r="H12" s="4">
        <f>IF(ISNUMBER(VLOOKUP("1.2.1",A3:K117,8,FALSE)),VLOOKUP("1.2.1",A3:K117,8,FALSE),0) + IF(ISNUMBER(VLOOKUP("1.2.2",A3:K117,8,FALSE)),VLOOKUP("1.2.2",A3:K117,8,FALSE),0) + IF(ISNUMBER(VLOOKUP("1.2.x",A3:K117,8,FALSE)),VLOOKUP("1.2.x",A3:K117,8,FALSE),0)</f>
        <v>1400000</v>
      </c>
      <c r="I12" s="4">
        <f>IF(ISNUMBER(VLOOKUP("1.2.1",A3:K117,9,FALSE)),VLOOKUP("1.2.1",A3:K117,9,FALSE),0) + IF(ISNUMBER(VLOOKUP("1.2.2",A3:K117,9,FALSE)),VLOOKUP("1.2.2",A3:K117,9,FALSE),0) + IF(ISNUMBER(VLOOKUP("1.2.x",A3:K117,9,FALSE)),VLOOKUP("1.2.x",A3:K117,9,FALSE),0)</f>
        <v>1450000</v>
      </c>
      <c r="J12" s="4">
        <f>IF(ISNUMBER(VLOOKUP("1.2.1",A3:K117,10,FALSE)),VLOOKUP("1.2.1",A3:K117,10,FALSE),0) + IF(ISNUMBER(VLOOKUP("1.2.2",A3:K117,10,FALSE)),VLOOKUP("1.2.2",A3:K117,10,FALSE),0) + IF(ISNUMBER(VLOOKUP("1.2.x",A3:K117,10,FALSE)),VLOOKUP("1.2.x",A3:K117,10,FALSE),0)</f>
        <v>0</v>
      </c>
      <c r="K12" s="4">
        <f>IF(ISNUMBER(VLOOKUP("1.2.1",A3:K117,11,FALSE)),VLOOKUP("1.2.1",A3:K117,11,FALSE),0) + IF(ISNUMBER(VLOOKUP("1.2.2",A3:K117,11,FALSE)),VLOOKUP("1.2.2",A3:K117,11,FALSE),0) + IF(ISNUMBER(VLOOKUP("1.2.x",A3:K117,11,FALSE)),VLOOKUP("1.2.x",A3:K117,11,FALSE),0)</f>
        <v>0</v>
      </c>
    </row>
    <row r="13" spans="1:11" ht="14.25" customHeight="1" x14ac:dyDescent="0.25">
      <c r="A13" s="5" t="s">
        <v>31</v>
      </c>
      <c r="B13" s="6" t="s">
        <v>32</v>
      </c>
      <c r="C13" s="7">
        <v>11909662.199999999</v>
      </c>
      <c r="D13" s="7">
        <v>32055175.68</v>
      </c>
      <c r="E13" s="7">
        <v>53210000</v>
      </c>
      <c r="F13" s="7">
        <v>59202471.950000003</v>
      </c>
      <c r="G13" s="8">
        <v>5922264</v>
      </c>
      <c r="H13" s="8">
        <v>1400000</v>
      </c>
      <c r="I13" s="8">
        <v>1450000</v>
      </c>
      <c r="J13" s="8">
        <v>0</v>
      </c>
      <c r="K13" s="8">
        <v>0</v>
      </c>
    </row>
    <row r="14" spans="1:11" ht="27" customHeight="1" x14ac:dyDescent="0.25">
      <c r="A14" s="5" t="s">
        <v>33</v>
      </c>
      <c r="B14" s="6" t="s">
        <v>34</v>
      </c>
      <c r="C14" s="7">
        <v>83643.28</v>
      </c>
      <c r="D14" s="7">
        <v>0</v>
      </c>
      <c r="E14" s="7">
        <v>10000</v>
      </c>
      <c r="F14" s="7">
        <v>10000</v>
      </c>
      <c r="G14" s="8">
        <v>29844</v>
      </c>
      <c r="H14" s="8">
        <v>0</v>
      </c>
      <c r="I14" s="8">
        <v>0</v>
      </c>
      <c r="J14" s="8">
        <v>0</v>
      </c>
      <c r="K14" s="8">
        <v>0</v>
      </c>
    </row>
    <row r="15" spans="1:11" hidden="1" x14ac:dyDescent="0.25">
      <c r="A15" s="5" t="s">
        <v>35</v>
      </c>
      <c r="B15" s="6" t="s">
        <v>28</v>
      </c>
      <c r="C15" s="7">
        <v>70105.679999999993</v>
      </c>
      <c r="D15" s="7">
        <v>88065.29</v>
      </c>
      <c r="E15" s="7">
        <v>70000</v>
      </c>
      <c r="F15" s="7">
        <v>118668.39</v>
      </c>
      <c r="G15" s="8">
        <v>86000</v>
      </c>
      <c r="H15" s="8">
        <v>0</v>
      </c>
      <c r="I15" s="8">
        <v>0</v>
      </c>
      <c r="J15" s="8">
        <v>0</v>
      </c>
      <c r="K15" s="8">
        <v>0</v>
      </c>
    </row>
    <row r="16" spans="1:11" ht="14.25" customHeight="1" x14ac:dyDescent="0.25">
      <c r="A16" s="2" t="s">
        <v>36</v>
      </c>
      <c r="B16" s="3" t="s">
        <v>37</v>
      </c>
      <c r="C16" s="4">
        <f>IF(ISNUMBER(VLOOKUP("2.1",A3:K117,3,FALSE)),VLOOKUP("2.1",A3:K117,3,FALSE),0) + IF(ISNUMBER(VLOOKUP("2.2",A3:K117,3,FALSE)),VLOOKUP("2.2",A3:K117,3,FALSE),0)</f>
        <v>46852206.009999998</v>
      </c>
      <c r="D16" s="4">
        <f>IF(ISNUMBER(VLOOKUP("2.1",A3:K117,4,FALSE)),VLOOKUP("2.1",A3:K117,4,FALSE),0) + IF(ISNUMBER(VLOOKUP("2.2",A3:K117,4,FALSE)),VLOOKUP("2.2",A3:K117,4,FALSE),0)</f>
        <v>65242402.640000001</v>
      </c>
      <c r="E16" s="4">
        <f>IF(ISNUMBER(VLOOKUP("2.1",A3:K117,5,FALSE)),VLOOKUP("2.1",A3:K117,5,FALSE),0) + IF(ISNUMBER(VLOOKUP("2.2",A3:K117,5,FALSE)),VLOOKUP("2.2",A3:K117,5,FALSE),0)</f>
        <v>43140726.240000002</v>
      </c>
      <c r="F16" s="4">
        <f>IF(ISNUMBER(VLOOKUP("2.1",A3:K117,6,FALSE)),VLOOKUP("2.1",A3:K117,6,FALSE),0) + IF(ISNUMBER(VLOOKUP("2.2",A3:K117,6,FALSE)),VLOOKUP("2.2",A3:K117,6,FALSE),0)</f>
        <v>38462564.590000004</v>
      </c>
      <c r="G16" s="4">
        <f>IF(ISNUMBER(VLOOKUP("2.1",A3:K117,7,FALSE)),VLOOKUP("2.1",A3:K117,7,FALSE),0) + IF(ISNUMBER(VLOOKUP("2.2",A3:K117,7,FALSE)),VLOOKUP("2.2",A3:K117,7,FALSE),0)</f>
        <v>44421954.119999997</v>
      </c>
      <c r="H16" s="4">
        <f>IF(ISNUMBER(VLOOKUP("2.1",A3:K117,8,FALSE)),VLOOKUP("2.1",A3:K117,8,FALSE),0) + IF(ISNUMBER(VLOOKUP("2.2",A3:K117,8,FALSE)),VLOOKUP("2.2",A3:K117,8,FALSE),0)</f>
        <v>42290388.120000005</v>
      </c>
      <c r="I16" s="4">
        <f>IF(ISNUMBER(VLOOKUP("2.1",A3:K117,9,FALSE)),VLOOKUP("2.1",A3:K117,9,FALSE),0) + IF(ISNUMBER(VLOOKUP("2.2",A3:K117,9,FALSE)),VLOOKUP("2.2",A3:K117,9,FALSE),0)</f>
        <v>42450062.689999998</v>
      </c>
      <c r="J16" s="4">
        <f>IF(ISNUMBER(VLOOKUP("2.1",A3:K117,10,FALSE)),VLOOKUP("2.1",A3:K117,10,FALSE),0) + IF(ISNUMBER(VLOOKUP("2.2",A3:K117,10,FALSE)),VLOOKUP("2.2",A3:K117,10,FALSE),0)</f>
        <v>42613986</v>
      </c>
      <c r="K16" s="4">
        <f>IF(ISNUMBER(VLOOKUP("2.1",A3:K117,11,FALSE)),VLOOKUP("2.1",A3:K117,11,FALSE),0) + IF(ISNUMBER(VLOOKUP("2.2",A3:K117,11,FALSE)),VLOOKUP("2.2",A3:K117,11,FALSE),0)</f>
        <v>42844732</v>
      </c>
    </row>
    <row r="17" spans="1:11" ht="14.25" customHeight="1" x14ac:dyDescent="0.25">
      <c r="A17" s="2" t="s">
        <v>38</v>
      </c>
      <c r="B17" s="3" t="s">
        <v>39</v>
      </c>
      <c r="C17" s="4">
        <f>IF(ISNUMBER(VLOOKUP("2.1.1",A3:K117,3,FALSE)),VLOOKUP("2.1.1",A3:K117,3,FALSE),0) + IF(ISNUMBER(VLOOKUP("2.1.3",A3:K117,3,FALSE)),VLOOKUP("2.1.3",A3:K117,3,FALSE),0) + IF(ISNUMBER(VLOOKUP("2.1.x",A3:K117,3,FALSE)),VLOOKUP("2.1.x",A3:K117,3,FALSE),0) + IF(ISNUMBER(VLOOKUP("11.1",A3:K117,3,FALSE)),VLOOKUP("11.1",A3:K117,3,FALSE),0)</f>
        <v>37433500.219999999</v>
      </c>
      <c r="D17" s="4">
        <f>IF(ISNUMBER(VLOOKUP("2.1.1",A3:K117,4,FALSE)),VLOOKUP("2.1.1",A3:K117,4,FALSE),0) + IF(ISNUMBER(VLOOKUP("2.1.3",A3:K117,4,FALSE)),VLOOKUP("2.1.3",A3:K117,4,FALSE),0) + IF(ISNUMBER(VLOOKUP("2.1.x",A3:K117,4,FALSE)),VLOOKUP("2.1.x",A3:K117,4,FALSE),0) + IF(ISNUMBER(VLOOKUP("11.1",A3:K117,4,FALSE)),VLOOKUP("11.1",A3:K117,4,FALSE),0)</f>
        <v>60539504.07</v>
      </c>
      <c r="E17" s="4">
        <f>IF(ISNUMBER(VLOOKUP("2.1.1",A3:K117,5,FALSE)),VLOOKUP("2.1.1",A3:K117,5,FALSE),0) + IF(ISNUMBER(VLOOKUP("2.1.3",A3:K117,5,FALSE)),VLOOKUP("2.1.3",A3:K117,5,FALSE),0) + IF(ISNUMBER(VLOOKUP("2.1.x",A3:K117,5,FALSE)),VLOOKUP("2.1.x",A3:K117,5,FALSE),0) + IF(ISNUMBER(VLOOKUP("11.1",A3:K117,5,FALSE)),VLOOKUP("11.1",A3:K117,5,FALSE),0)</f>
        <v>43130726.240000002</v>
      </c>
      <c r="F17" s="4">
        <f>IF(ISNUMBER(VLOOKUP("2.1.1",A3:K117,6,FALSE)),VLOOKUP("2.1.1",A3:K117,6,FALSE),0) + IF(ISNUMBER(VLOOKUP("2.1.3",A3:K117,6,FALSE)),VLOOKUP("2.1.3",A3:K117,6,FALSE),0) + IF(ISNUMBER(VLOOKUP("2.1.x",A3:K117,6,FALSE)),VLOOKUP("2.1.x",A3:K117,6,FALSE),0) + IF(ISNUMBER(VLOOKUP("11.1",A3:K117,6,FALSE)),VLOOKUP("11.1",A3:K117,6,FALSE),0)</f>
        <v>38452564.590000004</v>
      </c>
      <c r="G17" s="4">
        <f>IF(ISNUMBER(VLOOKUP("2.1.1",A3:K117,7,FALSE)),VLOOKUP("2.1.1",A3:K117,7,FALSE),0) + IF(ISNUMBER(VLOOKUP("2.1.3",A3:K117,7,FALSE)),VLOOKUP("2.1.3",A3:K117,7,FALSE),0) + IF(ISNUMBER(VLOOKUP("2.1.x",A3:K117,7,FALSE)),VLOOKUP("2.1.x",A3:K117,7,FALSE),0) + IF(ISNUMBER(VLOOKUP("11.1",A3:K117,7,FALSE)),VLOOKUP("11.1",A3:K117,7,FALSE),0)</f>
        <v>42540292.119999997</v>
      </c>
      <c r="H17" s="4">
        <f>IF(ISNUMBER(VLOOKUP("2.1.1",A3:K117,8,FALSE)),VLOOKUP("2.1.1",A3:K117,8,FALSE),0) + IF(ISNUMBER(VLOOKUP("2.1.3",A3:K117,8,FALSE)),VLOOKUP("2.1.3",A3:K117,8,FALSE),0) + IF(ISNUMBER(VLOOKUP("2.1.x",A3:K117,8,FALSE)),VLOOKUP("2.1.x",A3:K117,8,FALSE),0) + IF(ISNUMBER(VLOOKUP("11.1",A3:K117,8,FALSE)),VLOOKUP("11.1",A3:K117,8,FALSE),0)</f>
        <v>42290388.120000005</v>
      </c>
      <c r="I17" s="4">
        <f>IF(ISNUMBER(VLOOKUP("2.1.1",A3:K117,9,FALSE)),VLOOKUP("2.1.1",A3:K117,9,FALSE),0) + IF(ISNUMBER(VLOOKUP("2.1.3",A3:K117,9,FALSE)),VLOOKUP("2.1.3",A3:K117,9,FALSE),0) + IF(ISNUMBER(VLOOKUP("2.1.x",A3:K117,9,FALSE)),VLOOKUP("2.1.x",A3:K117,9,FALSE),0) + IF(ISNUMBER(VLOOKUP("11.1",A3:K117,9,FALSE)),VLOOKUP("11.1",A3:K117,9,FALSE),0)</f>
        <v>42450062.689999998</v>
      </c>
      <c r="J17" s="4">
        <f>IF(ISNUMBER(VLOOKUP("2.1.1",A3:K117,10,FALSE)),VLOOKUP("2.1.1",A3:K117,10,FALSE),0) + IF(ISNUMBER(VLOOKUP("2.1.3",A3:K117,10,FALSE)),VLOOKUP("2.1.3",A3:K117,10,FALSE),0) + IF(ISNUMBER(VLOOKUP("2.1.x",A3:K117,10,FALSE)),VLOOKUP("2.1.x",A3:K117,10,FALSE),0) + IF(ISNUMBER(VLOOKUP("11.1",A3:K117,10,FALSE)),VLOOKUP("11.1",A3:K117,10,FALSE),0)</f>
        <v>42613986</v>
      </c>
      <c r="K17" s="4">
        <f>IF(ISNUMBER(VLOOKUP("2.1.1",A3:K117,11,FALSE)),VLOOKUP("2.1.1",A3:K117,11,FALSE),0) + IF(ISNUMBER(VLOOKUP("2.1.3",A3:K117,11,FALSE)),VLOOKUP("2.1.3",A3:K117,11,FALSE),0) + IF(ISNUMBER(VLOOKUP("2.1.x",A3:K117,11,FALSE)),VLOOKUP("2.1.x",A3:K117,11,FALSE),0) + IF(ISNUMBER(VLOOKUP("11.1",A3:K117,11,FALSE)),VLOOKUP("11.1",A3:K117,11,FALSE),0)</f>
        <v>42844732</v>
      </c>
    </row>
    <row r="18" spans="1:11" ht="14.25" customHeight="1" x14ac:dyDescent="0.25">
      <c r="A18" s="5" t="s">
        <v>40</v>
      </c>
      <c r="B18" s="6" t="s">
        <v>41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39.950000000000003" customHeight="1" x14ac:dyDescent="0.25">
      <c r="A19" s="5" t="s">
        <v>42</v>
      </c>
      <c r="B19" s="6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65.650000000000006" customHeight="1" x14ac:dyDescent="0.25">
      <c r="A20" s="5" t="s">
        <v>44</v>
      </c>
      <c r="B20" s="6" t="s">
        <v>45</v>
      </c>
      <c r="C20" s="7">
        <v>0</v>
      </c>
      <c r="D20" s="7">
        <v>0</v>
      </c>
      <c r="E20" s="7">
        <v>0</v>
      </c>
      <c r="F20" s="7">
        <v>0</v>
      </c>
      <c r="G20" s="8">
        <v>0</v>
      </c>
      <c r="H20" s="9" t="s">
        <v>46</v>
      </c>
      <c r="I20" s="9" t="s">
        <v>46</v>
      </c>
      <c r="J20" s="9" t="s">
        <v>46</v>
      </c>
      <c r="K20" s="9" t="s">
        <v>46</v>
      </c>
    </row>
    <row r="21" spans="1:11" ht="14.25" customHeight="1" x14ac:dyDescent="0.25">
      <c r="A21" s="5" t="s">
        <v>47</v>
      </c>
      <c r="B21" s="6" t="s">
        <v>48</v>
      </c>
      <c r="C21" s="9">
        <v>4210360.41</v>
      </c>
      <c r="D21" s="9">
        <v>9330551.1799999997</v>
      </c>
      <c r="E21" s="9">
        <v>4608354.83</v>
      </c>
      <c r="F21" s="9">
        <v>2232567.25</v>
      </c>
      <c r="G21" s="9">
        <v>1659353.98</v>
      </c>
      <c r="H21" s="9">
        <v>1151810.1200000001</v>
      </c>
      <c r="I21" s="9">
        <v>797252.69</v>
      </c>
      <c r="J21" s="9">
        <v>440516</v>
      </c>
      <c r="K21" s="9">
        <v>144093</v>
      </c>
    </row>
    <row r="22" spans="1:11" ht="27" customHeight="1" x14ac:dyDescent="0.25">
      <c r="A22" s="5" t="s">
        <v>49</v>
      </c>
      <c r="B22" s="6" t="s">
        <v>50</v>
      </c>
      <c r="C22" s="9">
        <v>4210360.41</v>
      </c>
      <c r="D22" s="9">
        <v>9330551.1799999997</v>
      </c>
      <c r="E22" s="9">
        <v>4608354.83</v>
      </c>
      <c r="F22" s="9">
        <v>2232567.25</v>
      </c>
      <c r="G22" s="9">
        <v>1659353.98</v>
      </c>
      <c r="H22" s="9">
        <v>1151810.1200000001</v>
      </c>
      <c r="I22" s="9">
        <v>797252.69</v>
      </c>
      <c r="J22" s="9">
        <v>440516</v>
      </c>
      <c r="K22" s="9">
        <v>144093</v>
      </c>
    </row>
    <row r="23" spans="1:11" ht="65.650000000000006" customHeight="1" x14ac:dyDescent="0.25">
      <c r="A23" s="5" t="s">
        <v>51</v>
      </c>
      <c r="B23" s="6" t="s">
        <v>52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39.950000000000003" customHeight="1" x14ac:dyDescent="0.25">
      <c r="A24" s="5" t="s">
        <v>53</v>
      </c>
      <c r="B24" s="6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idden="1" x14ac:dyDescent="0.25">
      <c r="A25" s="5" t="s">
        <v>55</v>
      </c>
      <c r="B25" s="6" t="s">
        <v>28</v>
      </c>
      <c r="C25" s="7">
        <v>24133100.870000001</v>
      </c>
      <c r="D25" s="7">
        <v>42524000.829999998</v>
      </c>
      <c r="E25" s="7">
        <v>29110796.420000002</v>
      </c>
      <c r="F25" s="7">
        <v>27032159.34</v>
      </c>
      <c r="G25" s="8">
        <v>31166376.219999999</v>
      </c>
      <c r="H25" s="8">
        <v>31445550</v>
      </c>
      <c r="I25" s="8">
        <v>31838619</v>
      </c>
      <c r="J25" s="8">
        <v>32236602</v>
      </c>
      <c r="K25" s="8">
        <v>32639560</v>
      </c>
    </row>
    <row r="26" spans="1:11" ht="14.25" customHeight="1" x14ac:dyDescent="0.25">
      <c r="A26" s="2" t="s">
        <v>56</v>
      </c>
      <c r="B26" s="3" t="s">
        <v>57</v>
      </c>
      <c r="C26" s="4">
        <f>IF(ISNUMBER(VLOOKUP("11.4",A3:K117,3,FALSE)),VLOOKUP("11.4",A3:K117,3,FALSE),0) + IF(ISNUMBER(VLOOKUP("11.5",A3:K117,3,FALSE)),VLOOKUP("11.5",A3:K117,3,FALSE),0) + IF(ISNUMBER(VLOOKUP("11.6",A3:K117,3,FALSE)),VLOOKUP("11.6",A3:K117,3,FALSE),0) + IF(ISNUMBER(VLOOKUP("11.x",A3:K117,3,FALSE)),VLOOKUP("11.x",A3:K117,3,FALSE),0)</f>
        <v>9418705.7899999991</v>
      </c>
      <c r="D26" s="4">
        <f>IF(ISNUMBER(VLOOKUP("11.4",A3:K117,4,FALSE)),VLOOKUP("11.4",A3:K117,4,FALSE),0) + IF(ISNUMBER(VLOOKUP("11.5",A3:K117,4,FALSE)),VLOOKUP("11.5",A3:K117,4,FALSE),0) + IF(ISNUMBER(VLOOKUP("11.6",A3:K117,4,FALSE)),VLOOKUP("11.6",A3:K117,4,FALSE),0) + IF(ISNUMBER(VLOOKUP("11.x",A3:K117,4,FALSE)),VLOOKUP("11.x",A3:K117,4,FALSE),0)</f>
        <v>4702898.57</v>
      </c>
      <c r="E26" s="4">
        <f>IF(ISNUMBER(VLOOKUP("11.4",A3:K117,5,FALSE)),VLOOKUP("11.4",A3:K117,5,FALSE),0) + IF(ISNUMBER(VLOOKUP("11.5",A3:K117,5,FALSE)),VLOOKUP("11.5",A3:K117,5,FALSE),0) + IF(ISNUMBER(VLOOKUP("11.6",A3:K117,5,FALSE)),VLOOKUP("11.6",A3:K117,5,FALSE),0) + IF(ISNUMBER(VLOOKUP("11.x",A3:K117,5,FALSE)),VLOOKUP("11.x",A3:K117,5,FALSE),0)</f>
        <v>10000</v>
      </c>
      <c r="F26" s="4">
        <f>IF(ISNUMBER(VLOOKUP("11.4",A3:K117,6,FALSE)),VLOOKUP("11.4",A3:K117,6,FALSE),0) + IF(ISNUMBER(VLOOKUP("11.5",A3:K117,6,FALSE)),VLOOKUP("11.5",A3:K117,6,FALSE),0) + IF(ISNUMBER(VLOOKUP("11.6",A3:K117,6,FALSE)),VLOOKUP("11.6",A3:K117,6,FALSE),0) + IF(ISNUMBER(VLOOKUP("11.x",A3:K117,6,FALSE)),VLOOKUP("11.x",A3:K117,6,FALSE),0)</f>
        <v>10000</v>
      </c>
      <c r="G26" s="4">
        <f>IF(ISNUMBER(VLOOKUP("11.4",A3:K117,7,FALSE)),VLOOKUP("11.4",A3:K117,7,FALSE),0) + IF(ISNUMBER(VLOOKUP("11.5",A3:K117,7,FALSE)),VLOOKUP("11.5",A3:K117,7,FALSE),0) + IF(ISNUMBER(VLOOKUP("11.6",A3:K117,7,FALSE)),VLOOKUP("11.6",A3:K117,7,FALSE),0) + IF(ISNUMBER(VLOOKUP("11.x",A3:K117,7,FALSE)),VLOOKUP("11.x",A3:K117,7,FALSE),0)</f>
        <v>1881662</v>
      </c>
      <c r="H26" s="4">
        <f>IF(ISNUMBER(VLOOKUP("11.4",A3:K117,8,FALSE)),VLOOKUP("11.4",A3:K117,8,FALSE),0) + IF(ISNUMBER(VLOOKUP("11.5",A3:K117,8,FALSE)),VLOOKUP("11.5",A3:K117,8,FALSE),0) + IF(ISNUMBER(VLOOKUP("11.6",A3:K117,8,FALSE)),VLOOKUP("11.6",A3:K117,8,FALSE),0) + IF(ISNUMBER(VLOOKUP("11.x",A3:K117,8,FALSE)),VLOOKUP("11.x",A3:K117,8,FALSE),0)</f>
        <v>0</v>
      </c>
      <c r="I26" s="4">
        <f>IF(ISNUMBER(VLOOKUP("11.4",A3:K117,9,FALSE)),VLOOKUP("11.4",A3:K117,9,FALSE),0) + IF(ISNUMBER(VLOOKUP("11.5",A3:K117,9,FALSE)),VLOOKUP("11.5",A3:K117,9,FALSE),0) + IF(ISNUMBER(VLOOKUP("11.6",A3:K117,9,FALSE)),VLOOKUP("11.6",A3:K117,9,FALSE),0) + IF(ISNUMBER(VLOOKUP("11.x",A3:K117,9,FALSE)),VLOOKUP("11.x",A3:K117,9,FALSE),0)</f>
        <v>0</v>
      </c>
      <c r="J26" s="4">
        <f>IF(ISNUMBER(VLOOKUP("11.4",A3:K117,10,FALSE)),VLOOKUP("11.4",A3:K117,10,FALSE),0) + IF(ISNUMBER(VLOOKUP("11.5",A3:K117,10,FALSE)),VLOOKUP("11.5",A3:K117,10,FALSE),0) + IF(ISNUMBER(VLOOKUP("11.6",A3:K117,10,FALSE)),VLOOKUP("11.6",A3:K117,10,FALSE),0) + IF(ISNUMBER(VLOOKUP("11.x",A3:K117,10,FALSE)),VLOOKUP("11.x",A3:K117,10,FALSE),0)</f>
        <v>0</v>
      </c>
      <c r="K26" s="4">
        <f>IF(ISNUMBER(VLOOKUP("11.4",A3:K117,11,FALSE)),VLOOKUP("11.4",A3:K117,11,FALSE),0) + IF(ISNUMBER(VLOOKUP("11.5",A3:K117,11,FALSE)),VLOOKUP("11.5",A3:K117,11,FALSE),0) + IF(ISNUMBER(VLOOKUP("11.6",A3:K117,11,FALSE)),VLOOKUP("11.6",A3:K117,11,FALSE),0) + IF(ISNUMBER(VLOOKUP("11.x",A3:K117,11,FALSE)),VLOOKUP("11.x",A3:K117,11,FALSE),0)</f>
        <v>0</v>
      </c>
    </row>
    <row r="27" spans="1:11" ht="14.25" customHeight="1" x14ac:dyDescent="0.25">
      <c r="A27" s="2" t="s">
        <v>58</v>
      </c>
      <c r="B27" s="3" t="s">
        <v>59</v>
      </c>
      <c r="C27" s="4">
        <f>IF(ISNUMBER(VLOOKUP("1",A3:K117,3,FALSE)),VLOOKUP("1",A3:K117,3,FALSE),0) -IF(ISNUMBER(VLOOKUP("2",A3:K117,3,FALSE)),VLOOKUP("2",A3:K117,3,FALSE),0)</f>
        <v>6381123.5099999979</v>
      </c>
      <c r="D27" s="4">
        <f>IF(ISNUMBER(VLOOKUP("1",A3:K117,4,FALSE)),VLOOKUP("1",A3:K117,4,FALSE),0) -IF(ISNUMBER(VLOOKUP("2",A3:K117,4,FALSE)),VLOOKUP("2",A3:K117,4,FALSE),0)</f>
        <v>12797348.579999998</v>
      </c>
      <c r="E27" s="4">
        <f>IF(ISNUMBER(VLOOKUP("1",A3:K117,5,FALSE)),VLOOKUP("1",A3:K117,5,FALSE),0) -IF(ISNUMBER(VLOOKUP("2",A3:K117,5,FALSE)),VLOOKUP("2",A3:K117,5,FALSE),0)</f>
        <v>59440335.82</v>
      </c>
      <c r="F27" s="4">
        <f>IF(ISNUMBER(VLOOKUP("1",A3:K117,6,FALSE)),VLOOKUP("1",A3:K117,6,FALSE),0) -IF(ISNUMBER(VLOOKUP("2",A3:K117,6,FALSE)),VLOOKUP("2",A3:K117,6,FALSE),0)</f>
        <v>66915184.829999998</v>
      </c>
      <c r="G27" s="4">
        <f>IF(ISNUMBER(VLOOKUP("1",A3:K117,7,FALSE)),VLOOKUP("1",A3:K117,7,FALSE),0) -IF(ISNUMBER(VLOOKUP("2",A3:K117,7,FALSE)),VLOOKUP("2",A3:K117,7,FALSE),0)</f>
        <v>11809666.179999992</v>
      </c>
      <c r="H27" s="4">
        <f>IF(ISNUMBER(VLOOKUP("1",A3:K117,8,FALSE)),VLOOKUP("1",A3:K117,8,FALSE),0) -IF(ISNUMBER(VLOOKUP("2",A3:K117,8,FALSE)),VLOOKUP("2",A3:K117,8,FALSE),0)</f>
        <v>11387319.879999995</v>
      </c>
      <c r="I27" s="4">
        <f>IF(ISNUMBER(VLOOKUP("1",A3:K117,9,FALSE)),VLOOKUP("1",A3:K117,9,FALSE),0) -IF(ISNUMBER(VLOOKUP("2",A3:K117,9,FALSE)),VLOOKUP("2",A3:K117,9,FALSE),0)</f>
        <v>12296010.310000002</v>
      </c>
      <c r="J27" s="4">
        <f>IF(ISNUMBER(VLOOKUP("1",A3:K117,10,FALSE)),VLOOKUP("1",A3:K117,10,FALSE),0) -IF(ISNUMBER(VLOOKUP("2",A3:K117,10,FALSE)),VLOOKUP("2",A3:K117,10,FALSE),0)</f>
        <v>12018754</v>
      </c>
      <c r="K27" s="4">
        <f>IF(ISNUMBER(VLOOKUP("1",A3:K117,11,FALSE)),VLOOKUP("1",A3:K117,11,FALSE),0) -IF(ISNUMBER(VLOOKUP("2",A3:K117,11,FALSE)),VLOOKUP("2",A3:K117,11,FALSE),0)</f>
        <v>12979254</v>
      </c>
    </row>
    <row r="28" spans="1:11" ht="14.25" customHeight="1" x14ac:dyDescent="0.25">
      <c r="A28" s="2" t="s">
        <v>60</v>
      </c>
      <c r="B28" s="3" t="s">
        <v>61</v>
      </c>
      <c r="C28" s="4">
        <f>IF(ISNUMBER(VLOOKUP("4.1",A3:K117,3,FALSE)),VLOOKUP("4.1",A3:K117,3,FALSE),0) + IF(ISNUMBER(VLOOKUP("4.2",A3:K117,3,FALSE)),VLOOKUP("4.2",A3:K117,3,FALSE),0) + IF(ISNUMBER(VLOOKUP("4.3",A3:K117,3,FALSE)),VLOOKUP("4.3",A3:K117,3,FALSE),0) + IF(ISNUMBER(VLOOKUP("4.4",A3:K117,3,FALSE)),VLOOKUP("4.4",A3:K117,3,FALSE),0)</f>
        <v>6287771.6600000001</v>
      </c>
      <c r="D28" s="4">
        <f>IF(ISNUMBER(VLOOKUP("4.1",A3:K117,4,FALSE)),VLOOKUP("4.1",A3:K117,4,FALSE),0) + IF(ISNUMBER(VLOOKUP("4.2",A3:K117,4,FALSE)),VLOOKUP("4.2",A3:K117,4,FALSE),0) + IF(ISNUMBER(VLOOKUP("4.3",A3:K117,4,FALSE)),VLOOKUP("4.3",A3:K117,4,FALSE),0) + IF(ISNUMBER(VLOOKUP("4.4",A3:K117,4,FALSE)),VLOOKUP("4.4",A3:K117,4,FALSE),0)</f>
        <v>104161606.63</v>
      </c>
      <c r="E28" s="4">
        <f>IF(ISNUMBER(VLOOKUP("4.1",A3:K117,5,FALSE)),VLOOKUP("4.1",A3:K117,5,FALSE),0) + IF(ISNUMBER(VLOOKUP("4.2",A3:K117,5,FALSE)),VLOOKUP("4.2",A3:K117,5,FALSE),0) + IF(ISNUMBER(VLOOKUP("4.3",A3:K117,5,FALSE)),VLOOKUP("4.3",A3:K117,5,FALSE),0) + IF(ISNUMBER(VLOOKUP("4.4",A3:K117,5,FALSE)),VLOOKUP("4.4",A3:K117,5,FALSE),0)</f>
        <v>1318426.8500000001</v>
      </c>
      <c r="F28" s="4">
        <f>IF(ISNUMBER(VLOOKUP("4.1",A3:K117,6,FALSE)),VLOOKUP("4.1",A3:K117,6,FALSE),0) + IF(ISNUMBER(VLOOKUP("4.2",A3:K117,6,FALSE)),VLOOKUP("4.2",A3:K117,6,FALSE),0) + IF(ISNUMBER(VLOOKUP("4.3",A3:K117,6,FALSE)),VLOOKUP("4.3",A3:K117,6,FALSE),0) + IF(ISNUMBER(VLOOKUP("4.4",A3:K117,6,FALSE)),VLOOKUP("4.4",A3:K117,6,FALSE),0)</f>
        <v>1318426.8500000001</v>
      </c>
      <c r="G28" s="4">
        <f>IF(ISNUMBER(VLOOKUP("4.1",A3:K117,7,FALSE)),VLOOKUP("4.1",A3:K117,7,FALSE),0) + IF(ISNUMBER(VLOOKUP("4.2",A3:K117,7,FALSE)),VLOOKUP("4.2",A3:K117,7,FALSE),0) + IF(ISNUMBER(VLOOKUP("4.3",A3:K117,7,FALSE)),VLOOKUP("4.3",A3:K117,7,FALSE),0) + IF(ISNUMBER(VLOOKUP("4.4",A3:K117,7,FALSE)),VLOOKUP("4.4",A3:K117,7,FALSE),0)</f>
        <v>131247.82</v>
      </c>
      <c r="H28" s="4">
        <f>IF(ISNUMBER(VLOOKUP("4.1",A3:K117,8,FALSE)),VLOOKUP("4.1",A3:K117,8,FALSE),0) + IF(ISNUMBER(VLOOKUP("4.2",A3:K117,8,FALSE)),VLOOKUP("4.2",A3:K117,8,FALSE),0) + IF(ISNUMBER(VLOOKUP("4.3",A3:K117,8,FALSE)),VLOOKUP("4.3",A3:K117,8,FALSE),0) + IF(ISNUMBER(VLOOKUP("4.4",A3:K117,8,FALSE)),VLOOKUP("4.4",A3:K117,8,FALSE),0)</f>
        <v>0</v>
      </c>
      <c r="I28" s="4">
        <f>IF(ISNUMBER(VLOOKUP("4.1",A3:K117,9,FALSE)),VLOOKUP("4.1",A3:K117,9,FALSE),0) + IF(ISNUMBER(VLOOKUP("4.2",A3:K117,9,FALSE)),VLOOKUP("4.2",A3:K117,9,FALSE),0) + IF(ISNUMBER(VLOOKUP("4.3",A3:K117,9,FALSE)),VLOOKUP("4.3",A3:K117,9,FALSE),0) + IF(ISNUMBER(VLOOKUP("4.4",A3:K117,9,FALSE)),VLOOKUP("4.4",A3:K117,9,FALSE),0)</f>
        <v>0</v>
      </c>
      <c r="J28" s="4">
        <f>IF(ISNUMBER(VLOOKUP("4.1",A3:K117,10,FALSE)),VLOOKUP("4.1",A3:K117,10,FALSE),0) + IF(ISNUMBER(VLOOKUP("4.2",A3:K117,10,FALSE)),VLOOKUP("4.2",A3:K117,10,FALSE),0) + IF(ISNUMBER(VLOOKUP("4.3",A3:K117,10,FALSE)),VLOOKUP("4.3",A3:K117,10,FALSE),0) + IF(ISNUMBER(VLOOKUP("4.4",A3:K117,10,FALSE)),VLOOKUP("4.4",A3:K117,10,FALSE),0)</f>
        <v>0</v>
      </c>
      <c r="K28" s="4">
        <f>IF(ISNUMBER(VLOOKUP("4.1",A3:K117,11,FALSE)),VLOOKUP("4.1",A3:K117,11,FALSE),0) + IF(ISNUMBER(VLOOKUP("4.2",A3:K117,11,FALSE)),VLOOKUP("4.2",A3:K117,11,FALSE),0) + IF(ISNUMBER(VLOOKUP("4.3",A3:K117,11,FALSE)),VLOOKUP("4.3",A3:K117,11,FALSE),0) + IF(ISNUMBER(VLOOKUP("4.4",A3:K117,11,FALSE)),VLOOKUP("4.4",A3:K117,11,FALSE),0)</f>
        <v>0</v>
      </c>
    </row>
    <row r="29" spans="1:11" ht="14.25" customHeight="1" x14ac:dyDescent="0.25">
      <c r="A29" s="2" t="s">
        <v>62</v>
      </c>
      <c r="B29" s="3" t="s">
        <v>63</v>
      </c>
      <c r="C29" s="10">
        <v>0</v>
      </c>
      <c r="D29" s="10">
        <v>0</v>
      </c>
      <c r="E29" s="10">
        <v>0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14.25" customHeight="1" x14ac:dyDescent="0.25">
      <c r="A30" s="5" t="s">
        <v>64</v>
      </c>
      <c r="B30" s="6" t="s">
        <v>65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27" customHeight="1" x14ac:dyDescent="0.25">
      <c r="A31" s="5" t="s">
        <v>66</v>
      </c>
      <c r="B31" s="6" t="s">
        <v>67</v>
      </c>
      <c r="C31" s="7">
        <v>0</v>
      </c>
      <c r="D31" s="7">
        <v>0</v>
      </c>
      <c r="E31" s="7">
        <v>1318426.8500000001</v>
      </c>
      <c r="F31" s="7">
        <v>1318426.8500000001</v>
      </c>
      <c r="G31" s="8">
        <v>131247.82</v>
      </c>
      <c r="H31" s="8">
        <v>0</v>
      </c>
      <c r="I31" s="8">
        <v>0</v>
      </c>
      <c r="J31" s="8">
        <v>0</v>
      </c>
      <c r="K31" s="8">
        <v>0</v>
      </c>
    </row>
    <row r="32" spans="1:11" ht="14.25" customHeight="1" x14ac:dyDescent="0.25">
      <c r="A32" s="5" t="s">
        <v>68</v>
      </c>
      <c r="B32" s="6" t="s">
        <v>65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ht="14.25" customHeight="1" x14ac:dyDescent="0.25">
      <c r="A33" s="2" t="s">
        <v>69</v>
      </c>
      <c r="B33" s="3" t="s">
        <v>70</v>
      </c>
      <c r="C33" s="4">
        <v>6287771.6600000001</v>
      </c>
      <c r="D33" s="4">
        <v>104161606.63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4.25" customHeight="1" x14ac:dyDescent="0.25">
      <c r="A34" s="5" t="s">
        <v>71</v>
      </c>
      <c r="B34" s="6" t="s">
        <v>65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ht="14.25" customHeight="1" x14ac:dyDescent="0.25">
      <c r="A35" s="2" t="s">
        <v>72</v>
      </c>
      <c r="B35" s="3" t="s">
        <v>73</v>
      </c>
      <c r="C35" s="10">
        <v>0</v>
      </c>
      <c r="D35" s="10">
        <v>0</v>
      </c>
      <c r="E35" s="10">
        <v>0</v>
      </c>
      <c r="F35" s="10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14.25" customHeight="1" x14ac:dyDescent="0.25">
      <c r="A36" s="5" t="s">
        <v>74</v>
      </c>
      <c r="B36" s="6" t="s">
        <v>65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4.25" customHeight="1" x14ac:dyDescent="0.25">
      <c r="A37" s="2" t="s">
        <v>75</v>
      </c>
      <c r="B37" s="3" t="s">
        <v>76</v>
      </c>
      <c r="C37" s="4">
        <f>IF(ISNUMBER(VLOOKUP("5.1",A3:K117,3,FALSE)),VLOOKUP("5.1",A3:K117,3,FALSE),0) + IF(ISNUMBER(VLOOKUP("5.2",A3:K117,3,FALSE)),VLOOKUP("5.2",A3:K117,3,FALSE),0)</f>
        <v>6713226.4000000004</v>
      </c>
      <c r="D37" s="4">
        <f>IF(ISNUMBER(VLOOKUP("5.1",A3:K117,4,FALSE)),VLOOKUP("5.1",A3:K117,4,FALSE),0) + IF(ISNUMBER(VLOOKUP("5.2",A3:K117,4,FALSE)),VLOOKUP("5.2",A3:K117,4,FALSE),0)</f>
        <v>112586566.5</v>
      </c>
      <c r="E37" s="4">
        <f>IF(ISNUMBER(VLOOKUP("5.1",A3:K117,5,FALSE)),VLOOKUP("5.1",A3:K117,5,FALSE),0) + IF(ISNUMBER(VLOOKUP("5.2",A3:K117,5,FALSE)),VLOOKUP("5.2",A3:K117,5,FALSE),0)</f>
        <v>60758762.670000002</v>
      </c>
      <c r="F37" s="4">
        <f>IF(ISNUMBER(VLOOKUP("5.1",A3:K117,6,FALSE)),VLOOKUP("5.1",A3:K117,6,FALSE),0) + IF(ISNUMBER(VLOOKUP("5.2",A3:K117,6,FALSE)),VLOOKUP("5.2",A3:K117,6,FALSE),0)</f>
        <v>60758762.670000002</v>
      </c>
      <c r="G37" s="4">
        <f>IF(ISNUMBER(VLOOKUP("5.1",A3:K117,7,FALSE)),VLOOKUP("5.1",A3:K117,7,FALSE),0) + IF(ISNUMBER(VLOOKUP("5.2",A3:K117,7,FALSE)),VLOOKUP("5.2",A3:K117,7,FALSE),0)</f>
        <v>11940914</v>
      </c>
      <c r="H37" s="4">
        <f>IF(ISNUMBER(VLOOKUP("5.1",A3:K117,8,FALSE)),VLOOKUP("5.1",A3:K117,8,FALSE),0) + IF(ISNUMBER(VLOOKUP("5.2",A3:K117,8,FALSE)),VLOOKUP("5.2",A3:K117,8,FALSE),0)</f>
        <v>11387319.880000001</v>
      </c>
      <c r="I37" s="4">
        <f>IF(ISNUMBER(VLOOKUP("5.1",A3:K117,9,FALSE)),VLOOKUP("5.1",A3:K117,9,FALSE),0) + IF(ISNUMBER(VLOOKUP("5.2",A3:K117,9,FALSE)),VLOOKUP("5.2",A3:K117,9,FALSE),0)</f>
        <v>12296010.310000001</v>
      </c>
      <c r="J37" s="4">
        <f>IF(ISNUMBER(VLOOKUP("5.1",A3:K117,10,FALSE)),VLOOKUP("5.1",A3:K117,10,FALSE),0) + IF(ISNUMBER(VLOOKUP("5.2",A3:K117,10,FALSE)),VLOOKUP("5.2",A3:K117,10,FALSE),0)</f>
        <v>10155303.210000001</v>
      </c>
      <c r="K37" s="4">
        <f>IF(ISNUMBER(VLOOKUP("5.1",A3:K117,11,FALSE)),VLOOKUP("5.1",A3:K117,11,FALSE),0) + IF(ISNUMBER(VLOOKUP("5.2",A3:K117,11,FALSE)),VLOOKUP("5.2",A3:K117,11,FALSE),0)</f>
        <v>9606211.0600000005</v>
      </c>
    </row>
    <row r="38" spans="1:11" ht="27" customHeight="1" x14ac:dyDescent="0.25">
      <c r="A38" s="2" t="s">
        <v>77</v>
      </c>
      <c r="B38" s="3" t="s">
        <v>78</v>
      </c>
      <c r="C38" s="4">
        <v>6713226.4000000004</v>
      </c>
      <c r="D38" s="4">
        <v>112586566.5</v>
      </c>
      <c r="E38" s="4">
        <v>60758762.670000002</v>
      </c>
      <c r="F38" s="4">
        <v>60758762.670000002</v>
      </c>
      <c r="G38" s="4">
        <v>11940914</v>
      </c>
      <c r="H38" s="4">
        <v>11387319.880000001</v>
      </c>
      <c r="I38" s="4">
        <v>12296010.310000001</v>
      </c>
      <c r="J38" s="4">
        <v>10155303.210000001</v>
      </c>
      <c r="K38" s="4">
        <v>9606211.0600000005</v>
      </c>
    </row>
    <row r="39" spans="1:11" ht="39.950000000000003" customHeight="1" x14ac:dyDescent="0.25">
      <c r="A39" s="5" t="s">
        <v>79</v>
      </c>
      <c r="B39" s="6" t="s">
        <v>80</v>
      </c>
      <c r="C39" s="9">
        <f>IF(ISNUMBER(VLOOKUP("5.1.1.1",A3:K117,3,FALSE)),VLOOKUP("5.1.1.1",A3:K117,3,FALSE),0) + IF(ISNUMBER(VLOOKUP("5.1.1.2",A3:K117,3,FALSE)),VLOOKUP("5.1.1.2",A3:K117,3,FALSE),0) + IF(ISNUMBER(VLOOKUP("5.1.1.3",A3:K117,3,FALSE)),VLOOKUP("5.1.1.3",A3:K117,3,FALSE),0)</f>
        <v>0</v>
      </c>
      <c r="D39" s="9">
        <f>IF(ISNUMBER(VLOOKUP("5.1.1.1",A3:K117,4,FALSE)),VLOOKUP("5.1.1.1",A3:K117,4,FALSE),0) + IF(ISNUMBER(VLOOKUP("5.1.1.2",A3:K117,4,FALSE)),VLOOKUP("5.1.1.2",A3:K117,4,FALSE),0) + IF(ISNUMBER(VLOOKUP("5.1.1.3",A3:K117,4,FALSE)),VLOOKUP("5.1.1.3",A3:K117,4,FALSE),0)</f>
        <v>0</v>
      </c>
      <c r="E39" s="9">
        <f>IF(ISNUMBER(VLOOKUP("5.1.1.1",A3:K117,5,FALSE)),VLOOKUP("5.1.1.1",A3:K117,5,FALSE),0) + IF(ISNUMBER(VLOOKUP("5.1.1.2",A3:K117,5,FALSE)),VLOOKUP("5.1.1.2",A3:K117,5,FALSE),0) + IF(ISNUMBER(VLOOKUP("5.1.1.3",A3:K117,5,FALSE)),VLOOKUP("5.1.1.3",A3:K117,5,FALSE),0)</f>
        <v>0</v>
      </c>
      <c r="F39" s="9">
        <f>IF(ISNUMBER(VLOOKUP("5.1.1.1",A3:K117,6,FALSE)),VLOOKUP("5.1.1.1",A3:K117,6,FALSE),0) + IF(ISNUMBER(VLOOKUP("5.1.1.2",A3:K117,6,FALSE)),VLOOKUP("5.1.1.2",A3:K117,6,FALSE),0) + IF(ISNUMBER(VLOOKUP("5.1.1.3",A3:K117,6,FALSE)),VLOOKUP("5.1.1.3",A3:K117,6,FALSE),0)</f>
        <v>0</v>
      </c>
      <c r="G39" s="9">
        <f>IF(ISNUMBER(VLOOKUP("5.1.1.1",A3:K117,7,FALSE)),VLOOKUP("5.1.1.1",A3:K117,7,FALSE),0) + IF(ISNUMBER(VLOOKUP("5.1.1.2",A3:K117,7,FALSE)),VLOOKUP("5.1.1.2",A3:K117,7,FALSE),0) + IF(ISNUMBER(VLOOKUP("5.1.1.3",A3:K117,7,FALSE)),VLOOKUP("5.1.1.3",A3:K117,7,FALSE),0)</f>
        <v>0</v>
      </c>
      <c r="H39" s="9">
        <f>IF(ISNUMBER(VLOOKUP("5.1.1.1",A3:K117,8,FALSE)),VLOOKUP("5.1.1.1",A3:K117,8,FALSE),0) + IF(ISNUMBER(VLOOKUP("5.1.1.2",A3:K117,8,FALSE)),VLOOKUP("5.1.1.2",A3:K117,8,FALSE),0) + IF(ISNUMBER(VLOOKUP("5.1.1.3",A3:K117,8,FALSE)),VLOOKUP("5.1.1.3",A3:K117,8,FALSE),0)</f>
        <v>0</v>
      </c>
      <c r="I39" s="9">
        <f>IF(ISNUMBER(VLOOKUP("5.1.1.1",A3:K117,9,FALSE)),VLOOKUP("5.1.1.1",A3:K117,9,FALSE),0) + IF(ISNUMBER(VLOOKUP("5.1.1.2",A3:K117,9,FALSE)),VLOOKUP("5.1.1.2",A3:K117,9,FALSE),0) + IF(ISNUMBER(VLOOKUP("5.1.1.3",A3:K117,9,FALSE)),VLOOKUP("5.1.1.3",A3:K117,9,FALSE),0)</f>
        <v>0</v>
      </c>
      <c r="J39" s="9">
        <f>IF(ISNUMBER(VLOOKUP("5.1.1.1",A3:K117,10,FALSE)),VLOOKUP("5.1.1.1",A3:K117,10,FALSE),0) + IF(ISNUMBER(VLOOKUP("5.1.1.2",A3:K117,10,FALSE)),VLOOKUP("5.1.1.2",A3:K117,10,FALSE),0) + IF(ISNUMBER(VLOOKUP("5.1.1.3",A3:K117,10,FALSE)),VLOOKUP("5.1.1.3",A3:K117,10,FALSE),0)</f>
        <v>0</v>
      </c>
      <c r="K39" s="9">
        <f>IF(ISNUMBER(VLOOKUP("5.1.1.1",A3:K117,11,FALSE)),VLOOKUP("5.1.1.1",A3:K117,11,FALSE),0) + IF(ISNUMBER(VLOOKUP("5.1.1.2",A3:K117,11,FALSE)),VLOOKUP("5.1.1.2",A3:K117,11,FALSE),0) + IF(ISNUMBER(VLOOKUP("5.1.1.3",A3:K117,11,FALSE)),VLOOKUP("5.1.1.3",A3:K117,11,FALSE),0)</f>
        <v>0</v>
      </c>
    </row>
    <row r="40" spans="1:11" ht="27" customHeight="1" x14ac:dyDescent="0.25">
      <c r="A40" s="5" t="s">
        <v>81</v>
      </c>
      <c r="B40" s="6" t="s">
        <v>82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</row>
    <row r="41" spans="1:11" ht="27" customHeight="1" x14ac:dyDescent="0.25">
      <c r="A41" s="5" t="s">
        <v>83</v>
      </c>
      <c r="B41" s="6" t="s">
        <v>84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</row>
    <row r="42" spans="1:11" ht="27" customHeight="1" x14ac:dyDescent="0.25">
      <c r="A42" s="5" t="s">
        <v>85</v>
      </c>
      <c r="B42" s="6" t="s">
        <v>86</v>
      </c>
      <c r="C42" s="7">
        <v>0</v>
      </c>
      <c r="D42" s="7">
        <v>0</v>
      </c>
      <c r="E42" s="7">
        <v>0</v>
      </c>
      <c r="F42" s="7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4.25" customHeight="1" x14ac:dyDescent="0.25">
      <c r="A43" s="2" t="s">
        <v>87</v>
      </c>
      <c r="B43" s="3" t="s">
        <v>88</v>
      </c>
      <c r="C43" s="10">
        <v>0</v>
      </c>
      <c r="D43" s="10">
        <v>0</v>
      </c>
      <c r="E43" s="10">
        <v>0</v>
      </c>
      <c r="F43" s="10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ht="14.25" customHeight="1" x14ac:dyDescent="0.25">
      <c r="A44" s="2" t="s">
        <v>89</v>
      </c>
      <c r="B44" s="3" t="s">
        <v>90</v>
      </c>
      <c r="C44" s="4">
        <v>140967599.72</v>
      </c>
      <c r="D44" s="4">
        <v>116144521.13</v>
      </c>
      <c r="E44" s="4">
        <v>55385758.460000001</v>
      </c>
      <c r="F44" s="4">
        <v>55385758.460000001</v>
      </c>
      <c r="G44" s="4">
        <v>43444844.460000001</v>
      </c>
      <c r="H44" s="4">
        <v>32057524.579999998</v>
      </c>
      <c r="I44" s="4">
        <v>19761514.27</v>
      </c>
      <c r="J44" s="4">
        <v>9606211.0600000005</v>
      </c>
      <c r="K44" s="4">
        <v>0</v>
      </c>
    </row>
    <row r="45" spans="1:11" ht="52.9" customHeight="1" x14ac:dyDescent="0.25">
      <c r="A45" s="2" t="s">
        <v>91</v>
      </c>
      <c r="B45" s="3" t="s">
        <v>92</v>
      </c>
      <c r="C45" s="10">
        <v>0</v>
      </c>
      <c r="D45" s="10">
        <v>0</v>
      </c>
      <c r="E45" s="10">
        <v>0</v>
      </c>
      <c r="F45" s="10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ht="27" customHeight="1" x14ac:dyDescent="0.25">
      <c r="A46" s="2" t="s">
        <v>93</v>
      </c>
      <c r="B46" s="3" t="s">
        <v>94</v>
      </c>
      <c r="C46" s="27" t="s">
        <v>46</v>
      </c>
      <c r="D46" s="27" t="s">
        <v>46</v>
      </c>
      <c r="E46" s="27" t="s">
        <v>46</v>
      </c>
      <c r="F46" s="27" t="s">
        <v>46</v>
      </c>
      <c r="G46" s="27" t="s">
        <v>46</v>
      </c>
      <c r="H46" s="27" t="s">
        <v>46</v>
      </c>
      <c r="I46" s="27" t="s">
        <v>46</v>
      </c>
      <c r="J46" s="27" t="s">
        <v>46</v>
      </c>
      <c r="K46" s="27" t="s">
        <v>46</v>
      </c>
    </row>
    <row r="47" spans="1:11" ht="27" customHeight="1" x14ac:dyDescent="0.25">
      <c r="A47" s="5" t="s">
        <v>95</v>
      </c>
      <c r="B47" s="6" t="s">
        <v>96</v>
      </c>
      <c r="C47" s="9">
        <f>IF(ISNUMBER(VLOOKUP("1.1",A3:K117,3,FALSE)),VLOOKUP("1.1",A3:K117,3,FALSE),0) - IF(ISNUMBER(VLOOKUP("2.1",A3:K117,3,FALSE)),VLOOKUP("2.1",A3:K117,3,FALSE),0)</f>
        <v>3736418.1400000006</v>
      </c>
      <c r="D47" s="9">
        <f>IF(ISNUMBER(VLOOKUP("1.1",A3:K117,4,FALSE)),VLOOKUP("1.1",A3:K117,4,FALSE),0) - IF(ISNUMBER(VLOOKUP("2.1",A3:K117,4,FALSE)),VLOOKUP("2.1",A3:K117,4,FALSE),0)</f>
        <v>-14642993.82</v>
      </c>
      <c r="E47" s="9">
        <f>IF(ISNUMBER(VLOOKUP("1.1",A3:K117,5,FALSE)),VLOOKUP("1.1",A3:K117,5,FALSE),0) - IF(ISNUMBER(VLOOKUP("2.1",A3:K117,5,FALSE)),VLOOKUP("2.1",A3:K117,5,FALSE),0)</f>
        <v>6160335.8200000003</v>
      </c>
      <c r="F47" s="9">
        <f>IF(ISNUMBER(VLOOKUP("1.1",A3:K117,6,FALSE)),VLOOKUP("1.1",A3:K117,6,FALSE),0) - IF(ISNUMBER(VLOOKUP("2.1",A3:K117,6,FALSE)),VLOOKUP("2.1",A3:K117,6,FALSE),0)</f>
        <v>7594044.4899999946</v>
      </c>
      <c r="G47" s="9">
        <f>IF(ISNUMBER(VLOOKUP("1.1",A3:K117,7,FALSE)),VLOOKUP("1.1",A3:K117,7,FALSE),0) - IF(ISNUMBER(VLOOKUP("2.1",A3:K117,7,FALSE)),VLOOKUP("2.1",A3:K117,7,FALSE),0)</f>
        <v>7653220.1799999923</v>
      </c>
      <c r="H47" s="9">
        <f>IF(ISNUMBER(VLOOKUP("1.1",A3:K117,8,FALSE)),VLOOKUP("1.1",A3:K117,8,FALSE),0) - IF(ISNUMBER(VLOOKUP("2.1",A3:K117,8,FALSE)),VLOOKUP("2.1",A3:K117,8,FALSE),0)</f>
        <v>9987319.8799999952</v>
      </c>
      <c r="I47" s="9">
        <f>IF(ISNUMBER(VLOOKUP("1.1",A3:K117,9,FALSE)),VLOOKUP("1.1",A3:K117,9,FALSE),0) - IF(ISNUMBER(VLOOKUP("2.1",A3:K117,9,FALSE)),VLOOKUP("2.1",A3:K117,9,FALSE),0)</f>
        <v>10846010.310000002</v>
      </c>
      <c r="J47" s="9">
        <f>IF(ISNUMBER(VLOOKUP("1.1",A3:K117,10,FALSE)),VLOOKUP("1.1",A3:K117,10,FALSE),0) - IF(ISNUMBER(VLOOKUP("2.1",A3:K117,10,FALSE)),VLOOKUP("2.1",A3:K117,10,FALSE),0)</f>
        <v>12018754</v>
      </c>
      <c r="K47" s="9">
        <f>IF(ISNUMBER(VLOOKUP("1.1",A3:K117,11,FALSE)),VLOOKUP("1.1",A3:K117,11,FALSE),0) - IF(ISNUMBER(VLOOKUP("2.1",A3:K117,11,FALSE)),VLOOKUP("2.1",A3:K117,11,FALSE),0)</f>
        <v>12979254</v>
      </c>
    </row>
    <row r="48" spans="1:11" ht="27" customHeight="1" x14ac:dyDescent="0.25">
      <c r="A48" s="5" t="s">
        <v>97</v>
      </c>
      <c r="B48" s="6" t="s">
        <v>98</v>
      </c>
      <c r="C48" s="9">
        <f>IF(ISNUMBER(VLOOKUP("1.1",A3:K117,3,FALSE)),VLOOKUP("1.1",A3:K117,3,FALSE),0) + IF(ISNUMBER(VLOOKUP("4.1",A3:K117,3,FALSE)),VLOOKUP("4.1",A3:K117,3,FALSE),0) + IF(ISNUMBER(VLOOKUP("4.2",A3:K117,3,FALSE)),VLOOKUP("4.2",A3:K117,3,FALSE),0) - IF(ISNUMBER(VLOOKUP("2.1",A3:K117,3,FALSE)),VLOOKUP("2.1",A3:K117,3,FALSE),0) + IF(ISNUMBER(VLOOKUP("2.1.2",A3:K117,3,FALSE)),VLOOKUP("2.1.2",A3:K117,3,FALSE),0)</f>
        <v>3736418.1400000006</v>
      </c>
      <c r="D48" s="9">
        <f>IF(ISNUMBER(VLOOKUP("1.1",A3:K117,4,FALSE)),VLOOKUP("1.1",A3:K117,4,FALSE),0) + IF(ISNUMBER(VLOOKUP("4.1",A3:K117,4,FALSE)),VLOOKUP("4.1",A3:K117,4,FALSE),0) + IF(ISNUMBER(VLOOKUP("4.2",A3:K117,4,FALSE)),VLOOKUP("4.2",A3:K117,4,FALSE),0) - IF(ISNUMBER(VLOOKUP("2.1",A3:K117,4,FALSE)),VLOOKUP("2.1",A3:K117,4,FALSE),0) + IF(ISNUMBER(VLOOKUP("2.1.2",A3:K117,4,FALSE)),VLOOKUP("2.1.2",A3:K117,4,FALSE),0)</f>
        <v>-14642993.82</v>
      </c>
      <c r="E48" s="9">
        <f>IF(ISNUMBER(VLOOKUP("1.1",A3:K117,5,FALSE)),VLOOKUP("1.1",A3:K117,5,FALSE),0) + IF(ISNUMBER(VLOOKUP("4.1",A3:K117,5,FALSE)),VLOOKUP("4.1",A3:K117,5,FALSE),0) + IF(ISNUMBER(VLOOKUP("4.2",A3:K117,5,FALSE)),VLOOKUP("4.2",A3:K117,5,FALSE),0) - IF(ISNUMBER(VLOOKUP("2.1",A3:K117,5,FALSE)),VLOOKUP("2.1",A3:K117,5,FALSE),0) + IF(ISNUMBER(VLOOKUP("2.1.2",A3:K117,5,FALSE)),VLOOKUP("2.1.2",A3:K117,5,FALSE),0)</f>
        <v>7478762.6700000018</v>
      </c>
      <c r="F48" s="9">
        <f>IF(ISNUMBER(VLOOKUP("1.1",A3:K117,6,FALSE)),VLOOKUP("1.1",A3:K117,6,FALSE),0) + IF(ISNUMBER(VLOOKUP("4.1",A3:K117,6,FALSE)),VLOOKUP("4.1",A3:K117,6,FALSE),0) + IF(ISNUMBER(VLOOKUP("4.2",A3:K117,6,FALSE)),VLOOKUP("4.2",A3:K117,6,FALSE),0) - IF(ISNUMBER(VLOOKUP("2.1",A3:K117,6,FALSE)),VLOOKUP("2.1",A3:K117,6,FALSE),0) + IF(ISNUMBER(VLOOKUP("2.1.2",A3:K117,6,FALSE)),VLOOKUP("2.1.2",A3:K117,6,FALSE),0)</f>
        <v>8912471.3399999961</v>
      </c>
      <c r="G48" s="9">
        <f>IF(ISNUMBER(VLOOKUP("1.1",A3:K117,7,FALSE)),VLOOKUP("1.1",A3:K117,7,FALSE),0) + IF(ISNUMBER(VLOOKUP("4.1",A3:K117,7,FALSE)),VLOOKUP("4.1",A3:K117,7,FALSE),0) + IF(ISNUMBER(VLOOKUP("4.2",A3:K117,7,FALSE)),VLOOKUP("4.2",A3:K117,7,FALSE),0) - IF(ISNUMBER(VLOOKUP("2.1",A3:K117,7,FALSE)),VLOOKUP("2.1",A3:K117,7,FALSE),0) + IF(ISNUMBER(VLOOKUP("2.1.2",A3:K117,7,FALSE)),VLOOKUP("2.1.2",A3:K117,7,FALSE),0)</f>
        <v>7784467.9999999925</v>
      </c>
      <c r="H48" s="9">
        <f>IF(ISNUMBER(VLOOKUP("1.1",A3:K117,8,FALSE)),VLOOKUP("1.1",A3:K117,8,FALSE),0) + IF(ISNUMBER(VLOOKUP("4.1",A3:K117,8,FALSE)),VLOOKUP("4.1",A3:K117,8,FALSE),0) + IF(ISNUMBER(VLOOKUP("4.2",A3:K117,8,FALSE)),VLOOKUP("4.2",A3:K117,8,FALSE),0) - IF(ISNUMBER(VLOOKUP("2.1",A3:K117,8,FALSE)),VLOOKUP("2.1",A3:K117,8,FALSE),0) + IF(ISNUMBER(VLOOKUP("2.1.2",A3:K117,8,FALSE)),VLOOKUP("2.1.2",A3:K117,8,FALSE),0)</f>
        <v>9987319.8799999952</v>
      </c>
      <c r="I48" s="9">
        <f>IF(ISNUMBER(VLOOKUP("1.1",A3:K117,9,FALSE)),VLOOKUP("1.1",A3:K117,9,FALSE),0) + IF(ISNUMBER(VLOOKUP("4.1",A3:K117,9,FALSE)),VLOOKUP("4.1",A3:K117,9,FALSE),0) + IF(ISNUMBER(VLOOKUP("4.2",A3:K117,9,FALSE)),VLOOKUP("4.2",A3:K117,9,FALSE),0) - IF(ISNUMBER(VLOOKUP("2.1",A3:K117,9,FALSE)),VLOOKUP("2.1",A3:K117,9,FALSE),0) + IF(ISNUMBER(VLOOKUP("2.1.2",A3:K117,9,FALSE)),VLOOKUP("2.1.2",A3:K117,9,FALSE),0)</f>
        <v>10846010.310000002</v>
      </c>
      <c r="J48" s="9">
        <f>IF(ISNUMBER(VLOOKUP("1.1",A3:K117,10,FALSE)),VLOOKUP("1.1",A3:K117,10,FALSE),0) + IF(ISNUMBER(VLOOKUP("4.1",A3:K117,10,FALSE)),VLOOKUP("4.1",A3:K117,10,FALSE),0) + IF(ISNUMBER(VLOOKUP("4.2",A3:K117,10,FALSE)),VLOOKUP("4.2",A3:K117,10,FALSE),0) - IF(ISNUMBER(VLOOKUP("2.1",A3:K117,10,FALSE)),VLOOKUP("2.1",A3:K117,10,FALSE),0) + IF(ISNUMBER(VLOOKUP("2.1.2",A3:K117,10,FALSE)),VLOOKUP("2.1.2",A3:K117,10,FALSE),0)</f>
        <v>12018754</v>
      </c>
      <c r="K48" s="9">
        <f>IF(ISNUMBER(VLOOKUP("1.1",A3:K117,11,FALSE)),VLOOKUP("1.1",A3:K117,11,FALSE),0) + IF(ISNUMBER(VLOOKUP("4.1",A3:K117,11,FALSE)),VLOOKUP("4.1",A3:K117,11,FALSE),0) + IF(ISNUMBER(VLOOKUP("4.2",A3:K117,11,FALSE)),VLOOKUP("4.2",A3:K117,11,FALSE),0) - IF(ISNUMBER(VLOOKUP("2.1",A3:K117,11,FALSE)),VLOOKUP("2.1",A3:K117,11,FALSE),0) + IF(ISNUMBER(VLOOKUP("2.1.2",A3:K117,11,FALSE)),VLOOKUP("2.1.2",A3:K117,11,FALSE),0)</f>
        <v>12979254</v>
      </c>
    </row>
    <row r="49" spans="1:11" ht="14.25" customHeight="1" x14ac:dyDescent="0.25">
      <c r="A49" s="2" t="s">
        <v>99</v>
      </c>
      <c r="B49" s="3" t="s">
        <v>100</v>
      </c>
      <c r="C49" s="27" t="s">
        <v>46</v>
      </c>
      <c r="D49" s="27" t="s">
        <v>46</v>
      </c>
      <c r="E49" s="27" t="s">
        <v>46</v>
      </c>
      <c r="F49" s="27" t="s">
        <v>46</v>
      </c>
      <c r="G49" s="27" t="s">
        <v>46</v>
      </c>
      <c r="H49" s="27" t="s">
        <v>46</v>
      </c>
      <c r="I49" s="27" t="s">
        <v>46</v>
      </c>
      <c r="J49" s="27" t="s">
        <v>46</v>
      </c>
      <c r="K49" s="27" t="s">
        <v>46</v>
      </c>
    </row>
    <row r="50" spans="1:11" ht="65.650000000000006" customHeight="1" x14ac:dyDescent="0.25">
      <c r="A50" s="12" t="s">
        <v>101</v>
      </c>
      <c r="B50" s="13" t="s">
        <v>102</v>
      </c>
      <c r="C50" s="14">
        <f>(IF(ISNUMBER(VLOOKUP("2.1.1",A3:K117,3,FALSE)),VLOOKUP("2.1.1",A3:K117,3,FALSE),0) + IF(ISNUMBER(VLOOKUP("2.1.3.1",A3:K117,3,FALSE)),VLOOKUP("2.1.3.1",A3:K117,3,FALSE),0) + IF(ISNUMBER(VLOOKUP("5.1",A3:K117,3,FALSE)),VLOOKUP("5.1",A3:K117,3,FALSE),0)) / IF(ISNUMBER(VLOOKUP("1",A3:K117,3,FALSE)),VLOOKUP("1",A3:K117,3,FALSE),0)</f>
        <v>0.20520202114909911</v>
      </c>
      <c r="D50" s="14">
        <f>(IF(ISNUMBER(VLOOKUP("2.1.1",A3:K117,4,FALSE)),VLOOKUP("2.1.1",A3:K117,4,FALSE),0) + IF(ISNUMBER(VLOOKUP("2.1.3.1",A3:K117,4,FALSE)),VLOOKUP("2.1.3.1",A3:K117,4,FALSE),0) + IF(ISNUMBER(VLOOKUP("5.1",A3:K117,4,FALSE)),VLOOKUP("5.1",A3:K117,4,FALSE),0)) / IF(ISNUMBER(VLOOKUP("1",A3:K117,4,FALSE)),VLOOKUP("1",A3:K117,4,FALSE),0)</f>
        <v>1.5622438023451199</v>
      </c>
      <c r="E50" s="14">
        <f>(IF(ISNUMBER(VLOOKUP("2.1.1",A3:K117,5,FALSE)),VLOOKUP("2.1.1",A3:K117,5,FALSE),0) + IF(ISNUMBER(VLOOKUP("2.1.3.1",A3:K117,5,FALSE)),VLOOKUP("2.1.3.1",A3:K117,5,FALSE),0) + IF(ISNUMBER(VLOOKUP("5.1",A3:K117,5,FALSE)),VLOOKUP("5.1",A3:K117,5,FALSE),0)) / IF(ISNUMBER(VLOOKUP("1",A3:K117,5,FALSE)),VLOOKUP("1",A3:K117,5,FALSE),0)</f>
        <v>0.63722402739178663</v>
      </c>
      <c r="F50" s="14">
        <f>(IF(ISNUMBER(VLOOKUP("2.1.1",A3:K117,6,FALSE)),VLOOKUP("2.1.1",A3:K117,6,FALSE),0) + IF(ISNUMBER(VLOOKUP("2.1.3.1",A3:K117,6,FALSE)),VLOOKUP("2.1.3.1",A3:K117,6,FALSE),0) + IF(ISNUMBER(VLOOKUP("5.1",A3:K117,6,FALSE)),VLOOKUP("5.1",A3:K117,6,FALSE),0)) / IF(ISNUMBER(VLOOKUP("1",A3:K117,6,FALSE)),VLOOKUP("1",A3:K117,6,FALSE),0)</f>
        <v>0.59776689354920554</v>
      </c>
      <c r="G50" s="14">
        <f>(IF(ISNUMBER(VLOOKUP("2.1.1",A3:K117,7,FALSE)),VLOOKUP("2.1.1",A3:K117,7,FALSE),0) + IF(ISNUMBER(VLOOKUP("2.1.3.1",A3:K117,7,FALSE)),VLOOKUP("2.1.3.1",A3:K117,7,FALSE),0) + IF(ISNUMBER(VLOOKUP("5.1",A3:K117,7,FALSE)),VLOOKUP("5.1",A3:K117,7,FALSE),0)) / IF(ISNUMBER(VLOOKUP("1",A3:K117,7,FALSE)),VLOOKUP("1",A3:K117,7,FALSE),0)</f>
        <v>0.24186157018847282</v>
      </c>
      <c r="H50" s="14">
        <f>(IF(ISNUMBER(VLOOKUP("2.1.1",A3:K117,8,FALSE)),VLOOKUP("2.1.1",A3:K117,8,FALSE),0) + IF(ISNUMBER(VLOOKUP("2.1.3.1",A3:K117,8,FALSE)),VLOOKUP("2.1.3.1",A3:K117,8,FALSE),0) + IF(ISNUMBER(VLOOKUP("5.1",A3:K117,8,FALSE)),VLOOKUP("5.1",A3:K117,8,FALSE),0)) / IF(ISNUMBER(VLOOKUP("1",A3:K117,8,FALSE)),VLOOKUP("1",A3:K117,8,FALSE),0)</f>
        <v>0.23360032436556344</v>
      </c>
      <c r="I50" s="14">
        <f>(IF(ISNUMBER(VLOOKUP("2.1.1",A3:K117,9,FALSE)),VLOOKUP("2.1.1",A3:K117,9,FALSE),0) + IF(ISNUMBER(VLOOKUP("2.1.3.1",A3:K117,9,FALSE)),VLOOKUP("2.1.3.1",A3:K117,9,FALSE),0) + IF(ISNUMBER(VLOOKUP("5.1",A3:K117,9,FALSE)),VLOOKUP("5.1",A3:K117,9,FALSE),0)) / IF(ISNUMBER(VLOOKUP("1",A3:K117,9,FALSE)),VLOOKUP("1",A3:K117,9,FALSE),0)</f>
        <v>0.23916351041288386</v>
      </c>
      <c r="J50" s="14">
        <f>(IF(ISNUMBER(VLOOKUP("2.1.1",A3:K117,10,FALSE)),VLOOKUP("2.1.1",A3:K117,10,FALSE),0) + IF(ISNUMBER(VLOOKUP("2.1.3.1",A3:K117,10,FALSE)),VLOOKUP("2.1.3.1",A3:K117,10,FALSE),0) + IF(ISNUMBER(VLOOKUP("5.1",A3:K117,10,FALSE)),VLOOKUP("5.1",A3:K117,10,FALSE),0)) / IF(ISNUMBER(VLOOKUP("1",A3:K117,10,FALSE)),VLOOKUP("1",A3:K117,10,FALSE),0)</f>
        <v>0.19394632614069879</v>
      </c>
      <c r="K50" s="14">
        <f>(IF(ISNUMBER(VLOOKUP("2.1.1",A3:K117,11,FALSE)),VLOOKUP("2.1.1",A3:K117,11,FALSE),0) + IF(ISNUMBER(VLOOKUP("2.1.3.1",A3:K117,11,FALSE)),VLOOKUP("2.1.3.1",A3:K117,11,FALSE),0) + IF(ISNUMBER(VLOOKUP("5.1",A3:K117,11,FALSE)),VLOOKUP("5.1",A3:K117,11,FALSE),0)) / IF(ISNUMBER(VLOOKUP("1",A3:K117,11,FALSE)),VLOOKUP("1",A3:K117,11,FALSE),0)</f>
        <v>0.17466155247316092</v>
      </c>
    </row>
    <row r="51" spans="1:11" ht="65.650000000000006" customHeight="1" x14ac:dyDescent="0.25">
      <c r="A51" s="12" t="s">
        <v>103</v>
      </c>
      <c r="B51" s="13" t="s">
        <v>104</v>
      </c>
      <c r="C51" s="14">
        <f>(IF(ISNUMBER(VLOOKUP("2.1.1",A3:K117,3,FALSE)),VLOOKUP("2.1.1",A3:K117,3,FALSE),0) - IF(ISNUMBER(VLOOKUP("2.1.1.1",A3:K117,3,FALSE)),VLOOKUP("2.1.1.1",A3:K117,3,FALSE),0) + IF(ISNUMBER(VLOOKUP("2.1.3.1",A3:K117,3,FALSE)),VLOOKUP("2.1.3.1",A3:K117,3,FALSE),0) - IF(ISNUMBER(VLOOKUP("2.1.3.1.1",A3:K117,3,FALSE)),VLOOKUP("2.1.3.1.1",A3:K117,3,FALSE),0) - IF(ISNUMBER(VLOOKUP("2.1.3.1.2",A3:K117,3,FALSE)),VLOOKUP("2.1.3.1.2",A3:K117,3,FALSE),0) + IF(ISNUMBER(VLOOKUP("5.1",A3:K117,3,FALSE)),VLOOKUP("5.1",A3:K117,3,FALSE),0) - IF(ISNUMBER(VLOOKUP("5.1.1",A3:K117,3,FALSE)),VLOOKUP("5.1.1",A3:K117,3,FALSE),0)) / (IF(ISNUMBER(VLOOKUP("1",A3:K117,3,FALSE)),VLOOKUP("1",A3:K117,3,FALSE),0) - IF(ISNA(VLOOKUP("15.1.1",A3:K117,3,FALSE)),0,VLOOKUP("15.1.1",A3:K117,3,FALSE)))</f>
        <v>0.20520202114909911</v>
      </c>
      <c r="D51" s="14">
        <f>(IF(ISNUMBER(VLOOKUP("2.1.1",A3:K117,4,FALSE)),VLOOKUP("2.1.1",A3:K117,4,FALSE),0) - IF(ISNUMBER(VLOOKUP("2.1.1.1",A3:K117,4,FALSE)),VLOOKUP("2.1.1.1",A3:K117,4,FALSE),0) + IF(ISNUMBER(VLOOKUP("2.1.3.1",A3:K117,4,FALSE)),VLOOKUP("2.1.3.1",A3:K117,4,FALSE),0) - IF(ISNUMBER(VLOOKUP("2.1.3.1.1",A3:K117,4,FALSE)),VLOOKUP("2.1.3.1.1",A3:K117,4,FALSE),0) - IF(ISNUMBER(VLOOKUP("2.1.3.1.2",A3:K117,4,FALSE)),VLOOKUP("2.1.3.1.2",A3:K117,4,FALSE),0) + IF(ISNUMBER(VLOOKUP("5.1",A3:K117,4,FALSE)),VLOOKUP("5.1",A3:K117,4,FALSE),0) - IF(ISNUMBER(VLOOKUP("5.1.1",A3:K117,4,FALSE)),VLOOKUP("5.1.1",A3:K117,4,FALSE),0)) / (IF(ISNUMBER(VLOOKUP("1",A3:K117,4,FALSE)),VLOOKUP("1",A3:K117,4,FALSE),0) - IF(ISNA(VLOOKUP("15.1.1",A3:K117,4,FALSE)),0,VLOOKUP("15.1.1",A3:K117,4,FALSE)))</f>
        <v>1.5622438023451199</v>
      </c>
      <c r="E51" s="14">
        <f>(IF(ISNUMBER(VLOOKUP("2.1.1",A3:K117,5,FALSE)),VLOOKUP("2.1.1",A3:K117,5,FALSE),0) - IF(ISNUMBER(VLOOKUP("2.1.1.1",A3:K117,5,FALSE)),VLOOKUP("2.1.1.1",A3:K117,5,FALSE),0) + IF(ISNUMBER(VLOOKUP("2.1.3.1",A3:K117,5,FALSE)),VLOOKUP("2.1.3.1",A3:K117,5,FALSE),0) - IF(ISNUMBER(VLOOKUP("2.1.3.1.1",A3:K117,5,FALSE)),VLOOKUP("2.1.3.1.1",A3:K117,5,FALSE),0) - IF(ISNUMBER(VLOOKUP("2.1.3.1.2",A3:K117,5,FALSE)),VLOOKUP("2.1.3.1.2",A3:K117,5,FALSE),0) + IF(ISNUMBER(VLOOKUP("5.1",A3:K117,5,FALSE)),VLOOKUP("5.1",A3:K117,5,FALSE),0) - IF(ISNUMBER(VLOOKUP("5.1.1",A3:K117,5,FALSE)),VLOOKUP("5.1.1",A3:K117,5,FALSE),0)) / (IF(ISNUMBER(VLOOKUP("1",A3:K117,5,FALSE)),VLOOKUP("1",A3:K117,5,FALSE),0) - IF(ISNA(VLOOKUP("15.1.1",A3:K117,5,FALSE)),0,VLOOKUP("15.1.1",A3:K117,5,FALSE)))</f>
        <v>0.63722402739178663</v>
      </c>
      <c r="F51" s="14">
        <f>(IF(ISNUMBER(VLOOKUP("2.1.1",A3:K117,6,FALSE)),VLOOKUP("2.1.1",A3:K117,6,FALSE),0) - IF(ISNUMBER(VLOOKUP("2.1.1.1",A3:K117,6,FALSE)),VLOOKUP("2.1.1.1",A3:K117,6,FALSE),0) + IF(ISNUMBER(VLOOKUP("2.1.3.1",A3:K117,6,FALSE)),VLOOKUP("2.1.3.1",A3:K117,6,FALSE),0) - IF(ISNUMBER(VLOOKUP("2.1.3.1.1",A3:K117,6,FALSE)),VLOOKUP("2.1.3.1.1",A3:K117,6,FALSE),0) - IF(ISNUMBER(VLOOKUP("2.1.3.1.2",A3:K117,6,FALSE)),VLOOKUP("2.1.3.1.2",A3:K117,6,FALSE),0) + IF(ISNUMBER(VLOOKUP("5.1",A3:K117,6,FALSE)),VLOOKUP("5.1",A3:K117,6,FALSE),0) - IF(ISNUMBER(VLOOKUP("5.1.1",A3:K117,6,FALSE)),VLOOKUP("5.1.1",A3:K117,6,FALSE),0)) / (IF(ISNUMBER(VLOOKUP("1",A3:K117,6,FALSE)),VLOOKUP("1",A3:K117,6,FALSE),0) - IF(ISNA(VLOOKUP("15.1.1",A3:K117,6,FALSE)),0,VLOOKUP("15.1.1",A3:K117,6,FALSE)))</f>
        <v>0.59776689354920554</v>
      </c>
      <c r="G51" s="14">
        <f>(IF(ISNUMBER(VLOOKUP("2.1.1",A3:K117,7,FALSE)),VLOOKUP("2.1.1",A3:K117,7,FALSE),0) - IF(ISNUMBER(VLOOKUP("2.1.1.1",A3:K117,7,FALSE)),VLOOKUP("2.1.1.1",A3:K117,7,FALSE),0) + IF(ISNUMBER(VLOOKUP("2.1.3.1",A3:K117,7,FALSE)),VLOOKUP("2.1.3.1",A3:K117,7,FALSE),0) - IF(ISNUMBER(VLOOKUP("2.1.3.1.1",A3:K117,7,FALSE)),VLOOKUP("2.1.3.1.1",A3:K117,7,FALSE),0) - IF(ISNUMBER(VLOOKUP("2.1.3.1.2",A3:K117,7,FALSE)),VLOOKUP("2.1.3.1.2",A3:K117,7,FALSE),0) + IF(ISNUMBER(VLOOKUP("5.1",A3:K117,7,FALSE)),VLOOKUP("5.1",A3:K117,7,FALSE),0) - IF(ISNUMBER(VLOOKUP("5.1.1",A3:K117,7,FALSE)),VLOOKUP("5.1.1",A3:K117,7,FALSE),0)) / (IF(ISNUMBER(VLOOKUP("1",A3:K117,7,FALSE)),VLOOKUP("1",A3:K117,7,FALSE),0) - IF(ISNA(VLOOKUP("15.1.1",A3:K117,7,FALSE)),0,VLOOKUP("15.1.1",A3:K117,7,FALSE)))</f>
        <v>0.24186157018847282</v>
      </c>
      <c r="H51" s="14">
        <f>(IF(ISNUMBER(VLOOKUP("2.1.1",A3:K117,8,FALSE)),VLOOKUP("2.1.1",A3:K117,8,FALSE),0) - IF(ISNUMBER(VLOOKUP("2.1.1.1",A3:K117,8,FALSE)),VLOOKUP("2.1.1.1",A3:K117,8,FALSE),0) + IF(ISNUMBER(VLOOKUP("2.1.3.1",A3:K117,8,FALSE)),VLOOKUP("2.1.3.1",A3:K117,8,FALSE),0) - IF(ISNUMBER(VLOOKUP("2.1.3.1.1",A3:K117,8,FALSE)),VLOOKUP("2.1.3.1.1",A3:K117,8,FALSE),0) - IF(ISNUMBER(VLOOKUP("2.1.3.1.2",A3:K117,8,FALSE)),VLOOKUP("2.1.3.1.2",A3:K117,8,FALSE),0) + IF(ISNUMBER(VLOOKUP("5.1",A3:K117,8,FALSE)),VLOOKUP("5.1",A3:K117,8,FALSE),0) - IF(ISNUMBER(VLOOKUP("5.1.1",A3:K117,8,FALSE)),VLOOKUP("5.1.1",A3:K117,8,FALSE),0)) / (IF(ISNUMBER(VLOOKUP("1",A3:K117,8,FALSE)),VLOOKUP("1",A3:K117,8,FALSE),0) - IF(ISNA(VLOOKUP("15.1.1",A3:K117,8,FALSE)),0,VLOOKUP("15.1.1",A3:K117,8,FALSE)))</f>
        <v>0.23360032436556344</v>
      </c>
      <c r="I51" s="14">
        <f>(IF(ISNUMBER(VLOOKUP("2.1.1",A3:K117,9,FALSE)),VLOOKUP("2.1.1",A3:K117,9,FALSE),0) - IF(ISNUMBER(VLOOKUP("2.1.1.1",A3:K117,9,FALSE)),VLOOKUP("2.1.1.1",A3:K117,9,FALSE),0) + IF(ISNUMBER(VLOOKUP("2.1.3.1",A3:K117,9,FALSE)),VLOOKUP("2.1.3.1",A3:K117,9,FALSE),0) - IF(ISNUMBER(VLOOKUP("2.1.3.1.1",A3:K117,9,FALSE)),VLOOKUP("2.1.3.1.1",A3:K117,9,FALSE),0) - IF(ISNUMBER(VLOOKUP("2.1.3.1.2",A3:K117,9,FALSE)),VLOOKUP("2.1.3.1.2",A3:K117,9,FALSE),0) + IF(ISNUMBER(VLOOKUP("5.1",A3:K117,9,FALSE)),VLOOKUP("5.1",A3:K117,9,FALSE),0) - IF(ISNUMBER(VLOOKUP("5.1.1",A3:K117,9,FALSE)),VLOOKUP("5.1.1",A3:K117,9,FALSE),0)) / (IF(ISNUMBER(VLOOKUP("1",A3:K117,9,FALSE)),VLOOKUP("1",A3:K117,9,FALSE),0) - IF(ISNA(VLOOKUP("15.1.1",A3:K117,9,FALSE)),0,VLOOKUP("15.1.1",A3:K117,9,FALSE)))</f>
        <v>0.23916351041288386</v>
      </c>
      <c r="J51" s="14">
        <f>(IF(ISNUMBER(VLOOKUP("2.1.1",A3:K117,10,FALSE)),VLOOKUP("2.1.1",A3:K117,10,FALSE),0) - IF(ISNUMBER(VLOOKUP("2.1.1.1",A3:K117,10,FALSE)),VLOOKUP("2.1.1.1",A3:K117,10,FALSE),0) + IF(ISNUMBER(VLOOKUP("2.1.3.1",A3:K117,10,FALSE)),VLOOKUP("2.1.3.1",A3:K117,10,FALSE),0) - IF(ISNUMBER(VLOOKUP("2.1.3.1.1",A3:K117,10,FALSE)),VLOOKUP("2.1.3.1.1",A3:K117,10,FALSE),0) - IF(ISNUMBER(VLOOKUP("2.1.3.1.2",A3:K117,10,FALSE)),VLOOKUP("2.1.3.1.2",A3:K117,10,FALSE),0) + IF(ISNUMBER(VLOOKUP("5.1",A3:K117,10,FALSE)),VLOOKUP("5.1",A3:K117,10,FALSE),0) - IF(ISNUMBER(VLOOKUP("5.1.1",A3:K117,10,FALSE)),VLOOKUP("5.1.1",A3:K117,10,FALSE),0)) / (IF(ISNUMBER(VLOOKUP("1",A3:K117,10,FALSE)),VLOOKUP("1",A3:K117,10,FALSE),0) - IF(ISNA(VLOOKUP("15.1.1",A3:K117,10,FALSE)),0,VLOOKUP("15.1.1",A3:K117,10,FALSE)))</f>
        <v>0.19394632614069879</v>
      </c>
      <c r="K51" s="14">
        <f>(IF(ISNUMBER(VLOOKUP("2.1.1",A3:K117,11,FALSE)),VLOOKUP("2.1.1",A3:K117,11,FALSE),0) - IF(ISNUMBER(VLOOKUP("2.1.1.1",A3:K117,11,FALSE)),VLOOKUP("2.1.1.1",A3:K117,11,FALSE),0) + IF(ISNUMBER(VLOOKUP("2.1.3.1",A3:K117,11,FALSE)),VLOOKUP("2.1.3.1",A3:K117,11,FALSE),0) - IF(ISNUMBER(VLOOKUP("2.1.3.1.1",A3:K117,11,FALSE)),VLOOKUP("2.1.3.1.1",A3:K117,11,FALSE),0) - IF(ISNUMBER(VLOOKUP("2.1.3.1.2",A3:K117,11,FALSE)),VLOOKUP("2.1.3.1.2",A3:K117,11,FALSE),0) + IF(ISNUMBER(VLOOKUP("5.1",A3:K117,11,FALSE)),VLOOKUP("5.1",A3:K117,11,FALSE),0) - IF(ISNUMBER(VLOOKUP("5.1.1",A3:K117,11,FALSE)),VLOOKUP("5.1.1",A3:K117,11,FALSE),0)) / (IF(ISNUMBER(VLOOKUP("1",A3:K117,11,FALSE)),VLOOKUP("1",A3:K117,11,FALSE),0) - IF(ISNA(VLOOKUP("15.1.1",A3:K117,11,FALSE)),0,VLOOKUP("15.1.1",A3:K117,11,FALSE)))</f>
        <v>0.17466155247316092</v>
      </c>
    </row>
    <row r="52" spans="1:11" ht="52.9" customHeight="1" x14ac:dyDescent="0.25">
      <c r="A52" s="5" t="s">
        <v>105</v>
      </c>
      <c r="B52" s="6" t="s">
        <v>106</v>
      </c>
      <c r="C52" s="7">
        <v>0</v>
      </c>
      <c r="D52" s="7">
        <v>0</v>
      </c>
      <c r="E52" s="7">
        <v>0</v>
      </c>
      <c r="F52" s="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65.650000000000006" customHeight="1" x14ac:dyDescent="0.25">
      <c r="A53" s="12" t="s">
        <v>107</v>
      </c>
      <c r="B53" s="13" t="s">
        <v>108</v>
      </c>
      <c r="C53" s="14">
        <f>(IF(ISNUMBER(VLOOKUP("2.1.1",A3:K117,3,FALSE)),VLOOKUP("2.1.1",A3:K117,3,FALSE),0) - IF(ISNUMBER(VLOOKUP("2.1.1.1",A3:K117,3,FALSE)),VLOOKUP("2.1.1.1",A3:K117,3,FALSE),0) + IF(ISNUMBER(VLOOKUP("2.1.3.1",A3:K117,3,FALSE)),VLOOKUP("2.1.3.1",A3:K117,3,FALSE),0) - IF(ISNUMBER(VLOOKUP("2.1.3.1.1",A3:K117,3,FALSE)),VLOOKUP("2.1.3.1.1",A3:K117,3,FALSE),0) - IF(ISNUMBER(VLOOKUP("2.1.3.1.2",A3:K117,3,FALSE)),VLOOKUP("2.1.3.1.2",A3:K117,3,FALSE),0) + IF(ISNUMBER(VLOOKUP("5.1",A3:K117,3,FALSE)),VLOOKUP("5.1",A3:K117,3,FALSE),0) - IF(ISNUMBER(VLOOKUP("5.1.1",A3:K117,3,FALSE)),VLOOKUP("5.1.1",A3:K117,3,FALSE),0) + IF(ISNUMBER(VLOOKUP("9.3",A3:K117,3,FALSE)),VLOOKUP("9.3",A3:K117,3,FALSE),0)) / (IF(ISNUMBER(VLOOKUP("1",A3:K117,3,FALSE)),VLOOKUP("1",A3:K117,3,FALSE),0) - IF(ISNA(VLOOKUP("15.1.1",A3:K117,3,FALSE)),0,VLOOKUP("15.1.1",A3:K117,3,FALSE)))</f>
        <v>0.20520202114909911</v>
      </c>
      <c r="D53" s="14">
        <f>(IF(ISNUMBER(VLOOKUP("2.1.1",A3:K117,4,FALSE)),VLOOKUP("2.1.1",A3:K117,4,FALSE),0) - IF(ISNUMBER(VLOOKUP("2.1.1.1",A3:K117,4,FALSE)),VLOOKUP("2.1.1.1",A3:K117,4,FALSE),0) + IF(ISNUMBER(VLOOKUP("2.1.3.1",A3:K117,4,FALSE)),VLOOKUP("2.1.3.1",A3:K117,4,FALSE),0) - IF(ISNUMBER(VLOOKUP("2.1.3.1.1",A3:K117,4,FALSE)),VLOOKUP("2.1.3.1.1",A3:K117,4,FALSE),0) - IF(ISNUMBER(VLOOKUP("2.1.3.1.2",A3:K117,4,FALSE)),VLOOKUP("2.1.3.1.2",A3:K117,4,FALSE),0) + IF(ISNUMBER(VLOOKUP("5.1",A3:K117,4,FALSE)),VLOOKUP("5.1",A3:K117,4,FALSE),0) - IF(ISNUMBER(VLOOKUP("5.1.1",A3:K117,4,FALSE)),VLOOKUP("5.1.1",A3:K117,4,FALSE),0) + IF(ISNUMBER(VLOOKUP("9.3",A3:K117,4,FALSE)),VLOOKUP("9.3",A3:K117,4,FALSE),0)) / (IF(ISNUMBER(VLOOKUP("1",A3:K117,4,FALSE)),VLOOKUP("1",A3:K117,4,FALSE),0) - IF(ISNA(VLOOKUP("15.1.1",A3:K117,4,FALSE)),0,VLOOKUP("15.1.1",A3:K117,4,FALSE)))</f>
        <v>1.5622438023451199</v>
      </c>
      <c r="E53" s="14">
        <f>(IF(ISNUMBER(VLOOKUP("2.1.1",A3:K117,5,FALSE)),VLOOKUP("2.1.1",A3:K117,5,FALSE),0) - IF(ISNUMBER(VLOOKUP("2.1.1.1",A3:K117,5,FALSE)),VLOOKUP("2.1.1.1",A3:K117,5,FALSE),0) + IF(ISNUMBER(VLOOKUP("2.1.3.1",A3:K117,5,FALSE)),VLOOKUP("2.1.3.1",A3:K117,5,FALSE),0) - IF(ISNUMBER(VLOOKUP("2.1.3.1.1",A3:K117,5,FALSE)),VLOOKUP("2.1.3.1.1",A3:K117,5,FALSE),0) - IF(ISNUMBER(VLOOKUP("2.1.3.1.2",A3:K117,5,FALSE)),VLOOKUP("2.1.3.1.2",A3:K117,5,FALSE),0) + IF(ISNUMBER(VLOOKUP("5.1",A3:K117,5,FALSE)),VLOOKUP("5.1",A3:K117,5,FALSE),0) - IF(ISNUMBER(VLOOKUP("5.1.1",A3:K117,5,FALSE)),VLOOKUP("5.1.1",A3:K117,5,FALSE),0) + IF(ISNUMBER(VLOOKUP("9.3",A3:K117,5,FALSE)),VLOOKUP("9.3",A3:K117,5,FALSE),0)) / (IF(ISNUMBER(VLOOKUP("1",A3:K117,5,FALSE)),VLOOKUP("1",A3:K117,5,FALSE),0) - IF(ISNA(VLOOKUP("15.1.1",A3:K117,5,FALSE)),0,VLOOKUP("15.1.1",A3:K117,5,FALSE)))</f>
        <v>0.63722402739178663</v>
      </c>
      <c r="F53" s="14">
        <f>(IF(ISNUMBER(VLOOKUP("2.1.1",A3:K117,6,FALSE)),VLOOKUP("2.1.1",A3:K117,6,FALSE),0) - IF(ISNUMBER(VLOOKUP("2.1.1.1",A3:K117,6,FALSE)),VLOOKUP("2.1.1.1",A3:K117,6,FALSE),0) + IF(ISNUMBER(VLOOKUP("2.1.3.1",A3:K117,6,FALSE)),VLOOKUP("2.1.3.1",A3:K117,6,FALSE),0) - IF(ISNUMBER(VLOOKUP("2.1.3.1.1",A3:K117,6,FALSE)),VLOOKUP("2.1.3.1.1",A3:K117,6,FALSE),0) - IF(ISNUMBER(VLOOKUP("2.1.3.1.2",A3:K117,6,FALSE)),VLOOKUP("2.1.3.1.2",A3:K117,6,FALSE),0) + IF(ISNUMBER(VLOOKUP("5.1",A3:K117,6,FALSE)),VLOOKUP("5.1",A3:K117,6,FALSE),0) - IF(ISNUMBER(VLOOKUP("5.1.1",A3:K117,6,FALSE)),VLOOKUP("5.1.1",A3:K117,6,FALSE),0) + IF(ISNUMBER(VLOOKUP("9.3",A3:K117,6,FALSE)),VLOOKUP("9.3",A3:K117,6,FALSE),0)) / (IF(ISNUMBER(VLOOKUP("1",A3:K117,6,FALSE)),VLOOKUP("1",A3:K117,6,FALSE),0) - IF(ISNA(VLOOKUP("15.1.1",A3:K117,6,FALSE)),0,VLOOKUP("15.1.1",A3:K117,6,FALSE)))</f>
        <v>0.59776689354920554</v>
      </c>
      <c r="G53" s="14">
        <f>(IF(ISNUMBER(VLOOKUP("2.1.1",A3:K117,7,FALSE)),VLOOKUP("2.1.1",A3:K117,7,FALSE),0) - IF(ISNUMBER(VLOOKUP("2.1.1.1",A3:K117,7,FALSE)),VLOOKUP("2.1.1.1",A3:K117,7,FALSE),0) + IF(ISNUMBER(VLOOKUP("2.1.3.1",A3:K117,7,FALSE)),VLOOKUP("2.1.3.1",A3:K117,7,FALSE),0) - IF(ISNUMBER(VLOOKUP("2.1.3.1.1",A3:K117,7,FALSE)),VLOOKUP("2.1.3.1.1",A3:K117,7,FALSE),0) - IF(ISNUMBER(VLOOKUP("2.1.3.1.2",A3:K117,7,FALSE)),VLOOKUP("2.1.3.1.2",A3:K117,7,FALSE),0) + IF(ISNUMBER(VLOOKUP("5.1",A3:K117,7,FALSE)),VLOOKUP("5.1",A3:K117,7,FALSE),0) - IF(ISNUMBER(VLOOKUP("5.1.1",A3:K117,7,FALSE)),VLOOKUP("5.1.1",A3:K117,7,FALSE),0) + IF(ISNUMBER(VLOOKUP("9.3",A3:K117,7,FALSE)),VLOOKUP("9.3",A3:K117,7,FALSE),0)) / (IF(ISNUMBER(VLOOKUP("1",A3:K117,7,FALSE)),VLOOKUP("1",A3:K117,7,FALSE),0) - IF(ISNA(VLOOKUP("15.1.1",A3:K117,7,FALSE)),0,VLOOKUP("15.1.1",A3:K117,7,FALSE)))</f>
        <v>0.24186157018847282</v>
      </c>
      <c r="H53" s="14">
        <f>(IF(ISNUMBER(VLOOKUP("2.1.1",A3:K117,8,FALSE)),VLOOKUP("2.1.1",A3:K117,8,FALSE),0) - IF(ISNUMBER(VLOOKUP("2.1.1.1",A3:K117,8,FALSE)),VLOOKUP("2.1.1.1",A3:K117,8,FALSE),0) + IF(ISNUMBER(VLOOKUP("2.1.3.1",A3:K117,8,FALSE)),VLOOKUP("2.1.3.1",A3:K117,8,FALSE),0) - IF(ISNUMBER(VLOOKUP("2.1.3.1.1",A3:K117,8,FALSE)),VLOOKUP("2.1.3.1.1",A3:K117,8,FALSE),0) - IF(ISNUMBER(VLOOKUP("2.1.3.1.2",A3:K117,8,FALSE)),VLOOKUP("2.1.3.1.2",A3:K117,8,FALSE),0) + IF(ISNUMBER(VLOOKUP("5.1",A3:K117,8,FALSE)),VLOOKUP("5.1",A3:K117,8,FALSE),0) - IF(ISNUMBER(VLOOKUP("5.1.1",A3:K117,8,FALSE)),VLOOKUP("5.1.1",A3:K117,8,FALSE),0) + IF(ISNUMBER(VLOOKUP("9.3",A3:K117,8,FALSE)),VLOOKUP("9.3",A3:K117,8,FALSE),0)) / (IF(ISNUMBER(VLOOKUP("1",A3:K117,8,FALSE)),VLOOKUP("1",A3:K117,8,FALSE),0) - IF(ISNA(VLOOKUP("15.1.1",A3:K117,8,FALSE)),0,VLOOKUP("15.1.1",A3:K117,8,FALSE)))</f>
        <v>0.23360032436556344</v>
      </c>
      <c r="I53" s="14">
        <f>(IF(ISNUMBER(VLOOKUP("2.1.1",A3:K117,9,FALSE)),VLOOKUP("2.1.1",A3:K117,9,FALSE),0) - IF(ISNUMBER(VLOOKUP("2.1.1.1",A3:K117,9,FALSE)),VLOOKUP("2.1.1.1",A3:K117,9,FALSE),0) + IF(ISNUMBER(VLOOKUP("2.1.3.1",A3:K117,9,FALSE)),VLOOKUP("2.1.3.1",A3:K117,9,FALSE),0) - IF(ISNUMBER(VLOOKUP("2.1.3.1.1",A3:K117,9,FALSE)),VLOOKUP("2.1.3.1.1",A3:K117,9,FALSE),0) - IF(ISNUMBER(VLOOKUP("2.1.3.1.2",A3:K117,9,FALSE)),VLOOKUP("2.1.3.1.2",A3:K117,9,FALSE),0) + IF(ISNUMBER(VLOOKUP("5.1",A3:K117,9,FALSE)),VLOOKUP("5.1",A3:K117,9,FALSE),0) - IF(ISNUMBER(VLOOKUP("5.1.1",A3:K117,9,FALSE)),VLOOKUP("5.1.1",A3:K117,9,FALSE),0) + IF(ISNUMBER(VLOOKUP("9.3",A3:K117,9,FALSE)),VLOOKUP("9.3",A3:K117,9,FALSE),0)) / (IF(ISNUMBER(VLOOKUP("1",A3:K117,9,FALSE)),VLOOKUP("1",A3:K117,9,FALSE),0) - IF(ISNA(VLOOKUP("15.1.1",A3:K117,9,FALSE)),0,VLOOKUP("15.1.1",A3:K117,9,FALSE)))</f>
        <v>0.23916351041288386</v>
      </c>
      <c r="J53" s="14">
        <f>(IF(ISNUMBER(VLOOKUP("2.1.1",A3:K117,10,FALSE)),VLOOKUP("2.1.1",A3:K117,10,FALSE),0) - IF(ISNUMBER(VLOOKUP("2.1.1.1",A3:K117,10,FALSE)),VLOOKUP("2.1.1.1",A3:K117,10,FALSE),0) + IF(ISNUMBER(VLOOKUP("2.1.3.1",A3:K117,10,FALSE)),VLOOKUP("2.1.3.1",A3:K117,10,FALSE),0) - IF(ISNUMBER(VLOOKUP("2.1.3.1.1",A3:K117,10,FALSE)),VLOOKUP("2.1.3.1.1",A3:K117,10,FALSE),0) - IF(ISNUMBER(VLOOKUP("2.1.3.1.2",A3:K117,10,FALSE)),VLOOKUP("2.1.3.1.2",A3:K117,10,FALSE),0) + IF(ISNUMBER(VLOOKUP("5.1",A3:K117,10,FALSE)),VLOOKUP("5.1",A3:K117,10,FALSE),0) - IF(ISNUMBER(VLOOKUP("5.1.1",A3:K117,10,FALSE)),VLOOKUP("5.1.1",A3:K117,10,FALSE),0) + IF(ISNUMBER(VLOOKUP("9.3",A3:K117,10,FALSE)),VLOOKUP("9.3",A3:K117,10,FALSE),0)) / (IF(ISNUMBER(VLOOKUP("1",A3:K117,10,FALSE)),VLOOKUP("1",A3:K117,10,FALSE),0) - IF(ISNA(VLOOKUP("15.1.1",A3:K117,10,FALSE)),0,VLOOKUP("15.1.1",A3:K117,10,FALSE)))</f>
        <v>0.19394632614069879</v>
      </c>
      <c r="K53" s="14">
        <f>(IF(ISNUMBER(VLOOKUP("2.1.1",A3:K117,11,FALSE)),VLOOKUP("2.1.1",A3:K117,11,FALSE),0) - IF(ISNUMBER(VLOOKUP("2.1.1.1",A3:K117,11,FALSE)),VLOOKUP("2.1.1.1",A3:K117,11,FALSE),0) + IF(ISNUMBER(VLOOKUP("2.1.3.1",A3:K117,11,FALSE)),VLOOKUP("2.1.3.1",A3:K117,11,FALSE),0) - IF(ISNUMBER(VLOOKUP("2.1.3.1.1",A3:K117,11,FALSE)),VLOOKUP("2.1.3.1.1",A3:K117,11,FALSE),0) - IF(ISNUMBER(VLOOKUP("2.1.3.1.2",A3:K117,11,FALSE)),VLOOKUP("2.1.3.1.2",A3:K117,11,FALSE),0) + IF(ISNUMBER(VLOOKUP("5.1",A3:K117,11,FALSE)),VLOOKUP("5.1",A3:K117,11,FALSE),0) - IF(ISNUMBER(VLOOKUP("5.1.1",A3:K117,11,FALSE)),VLOOKUP("5.1.1",A3:K117,11,FALSE),0) + IF(ISNUMBER(VLOOKUP("9.3",A3:K117,11,FALSE)),VLOOKUP("9.3",A3:K117,11,FALSE),0)) / (IF(ISNUMBER(VLOOKUP("1",A3:K117,11,FALSE)),VLOOKUP("1",A3:K117,11,FALSE),0) - IF(ISNA(VLOOKUP("15.1.1",A3:K117,11,FALSE)),0,VLOOKUP("15.1.1",A3:K117,11,FALSE)))</f>
        <v>0.17466155247316092</v>
      </c>
    </row>
    <row r="54" spans="1:11" ht="52.9" customHeight="1" x14ac:dyDescent="0.25">
      <c r="A54" s="12" t="s">
        <v>109</v>
      </c>
      <c r="B54" s="13" t="s">
        <v>110</v>
      </c>
      <c r="C54" s="14">
        <f>((IF(ISNUMBER(VLOOKUP("1.1",A3:K117,3,FALSE)),VLOOKUP("1.1",A3:K117,3,FALSE),0) - IF(ISNA(VLOOKUP("15.1.1",A3:K117,3,FALSE)),0,VLOOKUP("15.1.1",A3:K117,3,FALSE))) - (IF(ISNUMBER(VLOOKUP("2.1",A3:K117,3,FALSE)),VLOOKUP("2.1",A3:K117,3,FALSE),0) - IF(ISNUMBER(VLOOKUP("2.1.2",A3:K117,3,FALSE)),VLOOKUP("2.1.2",A3:K117,3,FALSE),0) - IF(ISNA(VLOOKUP("15.2",A3:K117,3,FALSE)),0,VLOOKUP("15.2",A3:K117,3,FALSE))) + IF(ISNUMBER(VLOOKUP("1.2.1",A3:K117,3,FALSE)),VLOOKUP("1.2.1",A3:K117,3,FALSE),0)) / (IF(ISNUMBER(VLOOKUP("1",A3:K117,3,FALSE)),VLOOKUP("1",A3:K117,3,FALSE),0) - IF(ISNA(VLOOKUP("15.1.1",A3:K117,3,FALSE)),0,VLOOKUP("15.1.1",A3:K117,3,FALSE)))</f>
        <v>0.29391511823662464</v>
      </c>
      <c r="D54" s="14">
        <f>((IF(ISNUMBER(VLOOKUP("1.1",A3:K117,4,FALSE)),VLOOKUP("1.1",A3:K117,4,FALSE),0) - IF(ISNA(VLOOKUP("15.1.1",A3:K117,4,FALSE)),0,VLOOKUP("15.1.1",A3:K117,4,FALSE))) - (IF(ISNUMBER(VLOOKUP("2.1",A3:K117,4,FALSE)),VLOOKUP("2.1",A3:K117,4,FALSE),0) - IF(ISNUMBER(VLOOKUP("2.1.2",A3:K117,4,FALSE)),VLOOKUP("2.1.2",A3:K117,4,FALSE),0) - IF(ISNA(VLOOKUP("15.2",A3:K117,4,FALSE)),0,VLOOKUP("15.2",A3:K117,4,FALSE))) + IF(ISNUMBER(VLOOKUP("1.2.1",A3:K117,4,FALSE)),VLOOKUP("1.2.1",A3:K117,4,FALSE),0)) / (IF(ISNUMBER(VLOOKUP("1",A3:K117,4,FALSE)),VLOOKUP("1",A3:K117,4,FALSE),0) - IF(ISNA(VLOOKUP("15.1.1",A3:K117,4,FALSE)),0,VLOOKUP("15.1.1",A3:K117,4,FALSE)))</f>
        <v>0.22311939220454116</v>
      </c>
      <c r="E54" s="14">
        <f>((IF(ISNUMBER(VLOOKUP("1.1",A3:K117,5,FALSE)),VLOOKUP("1.1",A3:K117,5,FALSE),0) - IF(ISNA(VLOOKUP("15.1.1",A3:K117,5,FALSE)),0,VLOOKUP("15.1.1",A3:K117,5,FALSE))) - (IF(ISNUMBER(VLOOKUP("2.1",A3:K117,5,FALSE)),VLOOKUP("2.1",A3:K117,5,FALSE),0) - IF(ISNUMBER(VLOOKUP("2.1.2",A3:K117,5,FALSE)),VLOOKUP("2.1.2",A3:K117,5,FALSE),0) - IF(ISNA(VLOOKUP("15.2",A3:K117,5,FALSE)),0,VLOOKUP("15.2",A3:K117,5,FALSE))) + IF(ISNUMBER(VLOOKUP("1.2.1",A3:K117,5,FALSE)),VLOOKUP("1.2.1",A3:K117,5,FALSE),0)) / (IF(ISNUMBER(VLOOKUP("1",A3:K117,5,FALSE)),VLOOKUP("1",A3:K117,5,FALSE),0) - IF(ISNA(VLOOKUP("15.1.1",A3:K117,5,FALSE)),0,VLOOKUP("15.1.1",A3:K117,5,FALSE)))</f>
        <v>0.57876507249724218</v>
      </c>
      <c r="F54" s="14">
        <f>((IF(ISNUMBER(VLOOKUP("1.1",A3:K117,6,FALSE)),VLOOKUP("1.1",A3:K117,6,FALSE),0) - IF(ISNA(VLOOKUP("15.1.1",A3:K117,6,FALSE)),0,VLOOKUP("15.1.1",A3:K117,6,FALSE))) - (IF(ISNUMBER(VLOOKUP("2.1",A3:K117,6,FALSE)),VLOOKUP("2.1",A3:K117,6,FALSE),0) - IF(ISNUMBER(VLOOKUP("2.1.2",A3:K117,6,FALSE)),VLOOKUP("2.1.2",A3:K117,6,FALSE),0) - IF(ISNA(VLOOKUP("15.2",A3:K117,6,FALSE)),0,VLOOKUP("15.2",A3:K117,6,FALSE))) + IF(ISNUMBER(VLOOKUP("1.2.1",A3:K117,6,FALSE)),VLOOKUP("1.2.1",A3:K117,6,FALSE),0)) / (IF(ISNUMBER(VLOOKUP("1",A3:K117,6,FALSE)),VLOOKUP("1",A3:K117,6,FALSE),0) - IF(ISNA(VLOOKUP("15.1.1",A3:K117,6,FALSE)),0,VLOOKUP("15.1.1",A3:K117,6,FALSE)))</f>
        <v>0.63387685548086359</v>
      </c>
      <c r="G54" s="14">
        <f>((IF(ISNUMBER(VLOOKUP("1.1",A3:K117,7,FALSE)),VLOOKUP("1.1",A3:K117,7,FALSE),0) - IF(ISNA(VLOOKUP("15.1.1",A3:K117,7,FALSE)),0,VLOOKUP("15.1.1",A3:K117,7,FALSE))) - (IF(ISNUMBER(VLOOKUP("2.1",A3:K117,7,FALSE)),VLOOKUP("2.1",A3:K117,7,FALSE),0) - IF(ISNUMBER(VLOOKUP("2.1.2",A3:K117,7,FALSE)),VLOOKUP("2.1.2",A3:K117,7,FALSE),0) - IF(ISNA(VLOOKUP("15.2",A3:K117,7,FALSE)),0,VLOOKUP("15.2",A3:K117,7,FALSE))) + IF(ISNUMBER(VLOOKUP("1.2.1",A3:K117,7,FALSE)),VLOOKUP("1.2.1",A3:K117,7,FALSE),0)) / (IF(ISNUMBER(VLOOKUP("1",A3:K117,7,FALSE)),VLOOKUP("1",A3:K117,7,FALSE),0) - IF(ISNA(VLOOKUP("15.1.1",A3:K117,7,FALSE)),0,VLOOKUP("15.1.1",A3:K117,7,FALSE)))</f>
        <v>0.24142082528608899</v>
      </c>
      <c r="H54" s="14">
        <f>((IF(ISNUMBER(VLOOKUP("1.1",A3:K117,8,FALSE)),VLOOKUP("1.1",A3:K117,8,FALSE),0) - IF(ISNA(VLOOKUP("15.1.1",A3:K117,8,FALSE)),0,VLOOKUP("15.1.1",A3:K117,8,FALSE))) - (IF(ISNUMBER(VLOOKUP("2.1",A3:K117,8,FALSE)),VLOOKUP("2.1",A3:K117,8,FALSE),0) - IF(ISNUMBER(VLOOKUP("2.1.2",A3:K117,8,FALSE)),VLOOKUP("2.1.2",A3:K117,8,FALSE),0) - IF(ISNA(VLOOKUP("15.2",A3:K117,8,FALSE)),0,VLOOKUP("15.2",A3:K117,8,FALSE))) + IF(ISNUMBER(VLOOKUP("1.2.1",A3:K117,8,FALSE)),VLOOKUP("1.2.1",A3:K117,8,FALSE),0)) / (IF(ISNUMBER(VLOOKUP("1",A3:K117,8,FALSE)),VLOOKUP("1",A3:K117,8,FALSE),0) - IF(ISNA(VLOOKUP("15.1.1",A3:K117,8,FALSE)),0,VLOOKUP("15.1.1",A3:K117,8,FALSE)))</f>
        <v>0.21214243871962632</v>
      </c>
      <c r="I54" s="14">
        <f>((IF(ISNUMBER(VLOOKUP("1.1",A3:K117,9,FALSE)),VLOOKUP("1.1",A3:K117,9,FALSE),0) - IF(ISNA(VLOOKUP("15.1.1",A3:K117,9,FALSE)),0,VLOOKUP("15.1.1",A3:K117,9,FALSE))) - (IF(ISNUMBER(VLOOKUP("2.1",A3:K117,9,FALSE)),VLOOKUP("2.1",A3:K117,9,FALSE),0) - IF(ISNUMBER(VLOOKUP("2.1.2",A3:K117,9,FALSE)),VLOOKUP("2.1.2",A3:K117,9,FALSE),0) - IF(ISNA(VLOOKUP("15.2",A3:K117,9,FALSE)),0,VLOOKUP("15.2",A3:K117,9,FALSE))) + IF(ISNUMBER(VLOOKUP("1.2.1",A3:K117,9,FALSE)),VLOOKUP("1.2.1",A3:K117,9,FALSE),0)) / (IF(ISNUMBER(VLOOKUP("1",A3:K117,9,FALSE)),VLOOKUP("1",A3:K117,9,FALSE),0) - IF(ISNA(VLOOKUP("15.1.1",A3:K117,9,FALSE)),0,VLOOKUP("15.1.1",A3:K117,9,FALSE)))</f>
        <v>0.2246007729175388</v>
      </c>
      <c r="J54" s="14">
        <f>((IF(ISNUMBER(VLOOKUP("1.1",A3:K117,10,FALSE)),VLOOKUP("1.1",A3:K117,10,FALSE),0) - IF(ISNA(VLOOKUP("15.1.1",A3:K117,10,FALSE)),0,VLOOKUP("15.1.1",A3:K117,10,FALSE))) - (IF(ISNUMBER(VLOOKUP("2.1",A3:K117,10,FALSE)),VLOOKUP("2.1",A3:K117,10,FALSE),0) - IF(ISNUMBER(VLOOKUP("2.1.2",A3:K117,10,FALSE)),VLOOKUP("2.1.2",A3:K117,10,FALSE),0) - IF(ISNA(VLOOKUP("15.2",A3:K117,10,FALSE)),0,VLOOKUP("15.2",A3:K117,10,FALSE))) + IF(ISNUMBER(VLOOKUP("1.2.1",A3:K117,10,FALSE)),VLOOKUP("1.2.1",A3:K117,10,FALSE),0)) / (IF(ISNUMBER(VLOOKUP("1",A3:K117,10,FALSE)),VLOOKUP("1",A3:K117,10,FALSE),0) - IF(ISNA(VLOOKUP("15.1.1",A3:K117,10,FALSE)),0,VLOOKUP("15.1.1",A3:K117,10,FALSE)))</f>
        <v>0.21999178514568371</v>
      </c>
      <c r="K54" s="14">
        <f>((IF(ISNUMBER(VLOOKUP("1.1",A3:K117,11,FALSE)),VLOOKUP("1.1",A3:K117,11,FALSE),0) - IF(ISNA(VLOOKUP("15.1.1",A3:K117,11,FALSE)),0,VLOOKUP("15.1.1",A3:K117,11,FALSE))) - (IF(ISNUMBER(VLOOKUP("2.1",A3:K117,11,FALSE)),VLOOKUP("2.1",A3:K117,11,FALSE),0) - IF(ISNUMBER(VLOOKUP("2.1.2",A3:K117,11,FALSE)),VLOOKUP("2.1.2",A3:K117,11,FALSE),0) - IF(ISNA(VLOOKUP("15.2",A3:K117,11,FALSE)),0,VLOOKUP("15.2",A3:K117,11,FALSE))) + IF(ISNUMBER(VLOOKUP("1.2.1",A3:K117,11,FALSE)),VLOOKUP("1.2.1",A3:K117,11,FALSE),0)) / (IF(ISNUMBER(VLOOKUP("1",A3:K117,11,FALSE)),VLOOKUP("1",A3:K117,11,FALSE),0) - IF(ISNA(VLOOKUP("15.1.1",A3:K117,11,FALSE)),0,VLOOKUP("15.1.1",A3:K117,11,FALSE)))</f>
        <v>0.23250317524800182</v>
      </c>
    </row>
    <row r="55" spans="1:11" ht="65.650000000000006" customHeight="1" x14ac:dyDescent="0.25">
      <c r="A55" s="15" t="s">
        <v>111</v>
      </c>
      <c r="B55" s="16" t="s">
        <v>112</v>
      </c>
      <c r="C55" s="17">
        <f t="shared" ref="C55:F56" si="0" xml:space="preserve"> 0.15</f>
        <v>0.15</v>
      </c>
      <c r="D55" s="17">
        <f t="shared" si="0"/>
        <v>0.15</v>
      </c>
      <c r="E55" s="17">
        <f t="shared" si="0"/>
        <v>0.15</v>
      </c>
      <c r="F55" s="17">
        <f t="shared" si="0"/>
        <v>0.15</v>
      </c>
      <c r="G55" s="17">
        <f>(IF(ISNUMBER(VLOOKUP("9.5",A3:K117,3,FALSE)),VLOOKUP("9.5",A3:K117,3,FALSE),0) + IF(ISNUMBER(VLOOKUP("9.5",A3:K117,4,FALSE)),VLOOKUP("9.5",A3:K117,4,FALSE),0) + IF(ISNUMBER(VLOOKUP("9.5",A3:K117,5,FALSE)),VLOOKUP("9.5",A3:K117,5,FALSE),0)) / 3</f>
        <v>0.36526652764613599</v>
      </c>
      <c r="H55" s="17">
        <f xml:space="preserve"> (IF(ISNUMBER(VLOOKUP("9.5",A3:K117,4,FALSE)),VLOOKUP("9.5",A3:K117,4,FALSE),0) + IF(ISNUMBER(VLOOKUP("9.5",A3:K117,5,FALSE)),VLOOKUP("9.5",A3:K117,5,FALSE),0) + IF(ISNUMBER(VLOOKUP("9.5",A3:K117,7,FALSE)),VLOOKUP("9.5",A3:K117,7,FALSE),0)) / 3</f>
        <v>0.34776842999595742</v>
      </c>
      <c r="I55" s="17">
        <f xml:space="preserve"> (IF(ISNUMBER(VLOOKUP("9.5",A3:K117,5,FALSE)),VLOOKUP("9.5",A3:K117,5,FALSE),0) + IF(ISNUMBER(VLOOKUP("9.5",A3:K117,7,FALSE)),VLOOKUP("9.5",A3:K117,7,FALSE),0) + IF(ISNUMBER(VLOOKUP("9.5",A3:K117,8,FALSE)),VLOOKUP("9.5",A3:K117,8,FALSE),0)) / 3</f>
        <v>0.34410944550098582</v>
      </c>
      <c r="J55" s="17">
        <f>(IF(ISNUMBER(VLOOKUP("9.5",A3:K117,7,FALSE)),VLOOKUP("9.5",A3:K117,7,FALSE),0) + IF(ISNUMBER(VLOOKUP("9.5",A3:K117,8,FALSE)),VLOOKUP("9.5",A3:K117,8,FALSE),0) + IF(ISNUMBER(VLOOKUP("9.5",A3:K117,9,FALSE)),VLOOKUP("9.5",A3:K117,9,FALSE),0)) / 3</f>
        <v>0.22605467897441803</v>
      </c>
      <c r="K55" s="17">
        <f>(IF(ISNUMBER(VLOOKUP("9.5",A3:K117,8,FALSE)),VLOOKUP("9.5",A3:K117,8,FALSE),0) + IF(ISNUMBER(VLOOKUP("9.5",A3:K117,9,FALSE)),VLOOKUP("9.5",A3:K117,9,FALSE),0) + IF(ISNUMBER(VLOOKUP("9.5",A3:K117,10,FALSE)),VLOOKUP("9.5",A3:K117,10,FALSE),0)) / 3</f>
        <v>0.21891166559428296</v>
      </c>
    </row>
    <row r="56" spans="1:11" ht="65.650000000000006" customHeight="1" x14ac:dyDescent="0.25">
      <c r="A56" s="12" t="s">
        <v>113</v>
      </c>
      <c r="B56" s="13" t="s">
        <v>114</v>
      </c>
      <c r="C56" s="14">
        <f t="shared" si="0"/>
        <v>0.15</v>
      </c>
      <c r="D56" s="14">
        <f t="shared" si="0"/>
        <v>0.15</v>
      </c>
      <c r="E56" s="14">
        <f t="shared" si="0"/>
        <v>0.15</v>
      </c>
      <c r="F56" s="14">
        <f t="shared" si="0"/>
        <v>0.15</v>
      </c>
      <c r="G56" s="14">
        <f>(IF(ISNUMBER(VLOOKUP("9.5",A3:K117,3,FALSE)),VLOOKUP("9.5",A3:K117,3,FALSE),0) + IF(ISNUMBER(VLOOKUP("9.5",A3:K117,4,FALSE)),VLOOKUP("9.5",A3:K117,4,FALSE),0) + IF(ISNUMBER(VLOOKUP("9.5",A3:K117,6,FALSE)),VLOOKUP("9.5",A3:K117,6,FALSE),0)) / 3</f>
        <v>0.38363712197400979</v>
      </c>
      <c r="H56" s="14">
        <f>(IF(ISNUMBER(VLOOKUP("9.5",A3:K117,4,FALSE)),VLOOKUP("9.5",A3:K117,4,FALSE),0) + IF(ISNUMBER(VLOOKUP("9.5",A3:K117,6,FALSE)),VLOOKUP("9.5",A3:K117,6,FALSE),0) + IF(ISNUMBER(VLOOKUP("9.5",A3:K117,7,FALSE)),VLOOKUP("9.5",A3:K117,7,FALSE),0)) / 3</f>
        <v>0.36613902432383122</v>
      </c>
      <c r="I56" s="14">
        <f>(IF(ISNUMBER(VLOOKUP("9.5",A3:K117,6,FALSE)),VLOOKUP("9.5",A3:K117,6,FALSE),0) + IF(ISNUMBER(VLOOKUP("9.5",A3:K117,7,FALSE)),VLOOKUP("9.5",A3:K117,7,FALSE),0) + IF(ISNUMBER(VLOOKUP("9.5",A3:K117,8,FALSE)),VLOOKUP("9.5",A3:K117,8,FALSE),0)) / 3</f>
        <v>0.36248003982885962</v>
      </c>
      <c r="J56" s="14">
        <f>(IF(ISNUMBER(VLOOKUP("9.5",A3:K117,7,FALSE)),VLOOKUP("9.5",A3:K117,7,FALSE),0) + IF(ISNUMBER(VLOOKUP("9.5",A3:K117,8,FALSE)),VLOOKUP("9.5",A3:K117,8,FALSE),0) + IF(ISNUMBER(VLOOKUP("9.5",A3:K117,9,FALSE)),VLOOKUP("9.5",A3:K117,9,FALSE),0)) / 3</f>
        <v>0.22605467897441803</v>
      </c>
      <c r="K56" s="14">
        <f>(IF(ISNUMBER(VLOOKUP("9.5",A3:K117,8,FALSE)),VLOOKUP("9.5",A3:K117,8,FALSE),0) + IF(ISNUMBER(VLOOKUP("9.5",A3:K117,9,FALSE)),VLOOKUP("9.5",A3:K117,9,FALSE),0) + IF(ISNUMBER(VLOOKUP("9.5",A3:K117,10,FALSE)),VLOOKUP("9.5",A3:K117,10,FALSE),0)) / 3</f>
        <v>0.21891166559428296</v>
      </c>
    </row>
    <row r="57" spans="1:11" ht="78.599999999999994" customHeight="1" x14ac:dyDescent="0.25">
      <c r="A57" s="2" t="s">
        <v>115</v>
      </c>
      <c r="B57" s="3" t="s">
        <v>116</v>
      </c>
      <c r="C57" s="18" t="str">
        <f>IF(IF(ISNUMBER(VLOOKUP("9.4",A3:K117,3,FALSE)),VLOOKUP("9.4",A3:K117,3,FALSE),0) - IF(ISNUMBER(VLOOKUP("9.6",A3:K117,3,FALSE)),VLOOKUP("9.6",A3:K117,3,FALSE),0) &lt;= 0, "Tak", "Nie")</f>
        <v>Nie</v>
      </c>
      <c r="D57" s="18" t="str">
        <f>IF(IF(ISNUMBER(VLOOKUP("9.4",A3:K117,4,FALSE)),VLOOKUP("9.4",A3:K117,4,FALSE),0) - IF(ISNUMBER(VLOOKUP("9.6",A3:K117,4,FALSE)),VLOOKUP("9.6",A3:K117,4,FALSE),0) &lt;= 0, "Tak", "Nie")</f>
        <v>Nie</v>
      </c>
      <c r="E57" s="18" t="str">
        <f>IF(IF(ISNUMBER(VLOOKUP("9.4",A3:K117,5,FALSE)),VLOOKUP("9.4",A3:K117,5,FALSE),0) - IF(ISNUMBER(VLOOKUP("9.6",A3:K117,5,FALSE)),VLOOKUP("9.6",A3:K117,5,FALSE),0) &lt;= 0, "Tak", "Nie")</f>
        <v>Nie</v>
      </c>
      <c r="F57" s="18" t="str">
        <f>IF(IF(ISNUMBER(VLOOKUP("9.4",A3:K117,6,FALSE)),VLOOKUP("9.4",A3:K117,6,FALSE),0) - IF(ISNUMBER(VLOOKUP("9.6",A3:K117,6,FALSE)),VLOOKUP("9.6",A3:K117,6,FALSE),0) &lt;= 0, "Tak", "Nie")</f>
        <v>Nie</v>
      </c>
      <c r="G57" s="19" t="str">
        <f>IF(IF(ISNUMBER(VLOOKUP("9.4",A3:K117,7,FALSE)),VLOOKUP("9.4",A3:K117,7,FALSE),0) - IF(ISNUMBER(VLOOKUP("9.6",A3:K117,7,FALSE)),VLOOKUP("9.6",A3:K117,7,FALSE),0) &lt;= 0, "Tak", "Nie")</f>
        <v>Tak</v>
      </c>
      <c r="H57" s="19" t="str">
        <f>IF(IF(ISNUMBER(VLOOKUP("9.4",A3:K117,8,FALSE)),VLOOKUP("9.4",A3:K117,8,FALSE),0) - IF(ISNUMBER(VLOOKUP("9.6",A3:K117,8,FALSE)),VLOOKUP("9.6",A3:K117,8,FALSE),0) &lt;= 0, "Tak", "Nie")</f>
        <v>Tak</v>
      </c>
      <c r="I57" s="19" t="str">
        <f>IF(IF(ISNUMBER(VLOOKUP("9.4",A3:K117,9,FALSE)),VLOOKUP("9.4",A3:K117,9,FALSE),0) - IF(ISNUMBER(VLOOKUP("9.6",A3:K117,9,FALSE)),VLOOKUP("9.6",A3:K117,9,FALSE),0) &lt;= 0, "Tak", "Nie")</f>
        <v>Tak</v>
      </c>
      <c r="J57" s="19" t="str">
        <f>IF(IF(ISNUMBER(VLOOKUP("9.4",A3:K117,10,FALSE)),VLOOKUP("9.4",A3:K117,10,FALSE),0) - IF(ISNUMBER(VLOOKUP("9.6",A3:K117,10,FALSE)),VLOOKUP("9.6",A3:K117,10,FALSE),0) &lt;= 0, "Tak", "Nie")</f>
        <v>Tak</v>
      </c>
      <c r="K57" s="19" t="str">
        <f>IF(IF(ISNUMBER(VLOOKUP("9.4",A3:K117,11,FALSE)),VLOOKUP("9.4",A3:K117,11,FALSE),0) - IF(ISNUMBER(VLOOKUP("9.6",A3:K117,11,FALSE)),VLOOKUP("9.6",A3:K117,11,FALSE),0) &lt;= 0, "Tak", "Nie")</f>
        <v>Tak</v>
      </c>
    </row>
    <row r="58" spans="1:11" ht="78.599999999999994" customHeight="1" x14ac:dyDescent="0.25">
      <c r="A58" s="5" t="s">
        <v>117</v>
      </c>
      <c r="B58" s="6" t="s">
        <v>118</v>
      </c>
      <c r="C58" s="20" t="str">
        <f>IF(IF(ISNUMBER(VLOOKUP("9.4",A3:K117,3,FALSE)),VLOOKUP("9.4",A3:K117,3,FALSE),0) - IF(ISNUMBER(VLOOKUP("9.6.1",A3:K117,3,FALSE)),VLOOKUP("9.6.1",A3:K117,3,FALSE),0) &lt;= 0, "Tak", "Nie")</f>
        <v>Nie</v>
      </c>
      <c r="D58" s="20" t="str">
        <f>IF(IF(ISNUMBER(VLOOKUP("9.4",A3:K117,4,FALSE)),VLOOKUP("9.4",A3:K117,4,FALSE),0) - IF(ISNUMBER(VLOOKUP("9.6.1",A3:K117,4,FALSE)),VLOOKUP("9.6.1",A3:K117,4,FALSE),0) &lt;= 0, "Tak", "Nie")</f>
        <v>Nie</v>
      </c>
      <c r="E58" s="20" t="str">
        <f>IF(IF(ISNUMBER(VLOOKUP("9.4",A3:K117,5,FALSE)),VLOOKUP("9.4",A3:K117,5,FALSE),0) - IF(ISNUMBER(VLOOKUP("9.6.1",A3:K117,5,FALSE)),VLOOKUP("9.6.1",A3:K117,5,FALSE),0) &lt;= 0, "Tak", "Nie")</f>
        <v>Nie</v>
      </c>
      <c r="F58" s="20" t="str">
        <f>IF(IF(ISNUMBER(VLOOKUP("9.4",A3:K117,6,FALSE)),VLOOKUP("9.4",A3:K117,6,FALSE),0) - IF(ISNUMBER(VLOOKUP("9.6.1",A3:K117,6,FALSE)),VLOOKUP("9.6.1",A3:K117,6,FALSE),0) &lt;= 0, "Tak", "Nie")</f>
        <v>Nie</v>
      </c>
      <c r="G58" s="21" t="str">
        <f>IF(IF(ISNUMBER(VLOOKUP("9.4",A3:K117,7,FALSE)),VLOOKUP("9.4",A3:K117,7,FALSE),0) - IF(ISNUMBER(VLOOKUP("9.6.1",A3:K117,7,FALSE)),VLOOKUP("9.6.1",A3:K117,7,FALSE),0) &lt;= 0, "Tak", "Nie")</f>
        <v>Tak</v>
      </c>
      <c r="H58" s="21" t="str">
        <f>IF(IF(ISNUMBER(VLOOKUP("9.4",A3:K117,8,FALSE)),VLOOKUP("9.4",A3:K117,8,FALSE),0) - IF(ISNUMBER(VLOOKUP("9.6.1",A3:K117,8,FALSE)),VLOOKUP("9.6.1",A3:K117,8,FALSE),0) &lt;= 0, "Tak", "Nie")</f>
        <v>Tak</v>
      </c>
      <c r="I58" s="21" t="str">
        <f>IF(IF(ISNUMBER(VLOOKUP("9.4",A3:K117,9,FALSE)),VLOOKUP("9.4",A3:K117,9,FALSE),0) - IF(ISNUMBER(VLOOKUP("9.6.1",A3:K117,9,FALSE)),VLOOKUP("9.6.1",A3:K117,9,FALSE),0) &lt;= 0, "Tak", "Nie")</f>
        <v>Tak</v>
      </c>
      <c r="J58" s="21" t="str">
        <f>IF(IF(ISNUMBER(VLOOKUP("9.4",A3:K117,10,FALSE)),VLOOKUP("9.4",A3:K117,10,FALSE),0) - IF(ISNUMBER(VLOOKUP("9.6.1",A3:K117,10,FALSE)),VLOOKUP("9.6.1",A3:K117,10,FALSE),0) &lt;= 0, "Tak", "Nie")</f>
        <v>Tak</v>
      </c>
      <c r="K58" s="21" t="str">
        <f>IF(IF(ISNUMBER(VLOOKUP("9.4",A3:K117,11,FALSE)),VLOOKUP("9.4",A3:K117,11,FALSE),0) - IF(ISNUMBER(VLOOKUP("9.6.1",A3:K117,11,FALSE)),VLOOKUP("9.6.1",A3:K117,11,FALSE),0) &lt;= 0, "Tak", "Nie")</f>
        <v>Tak</v>
      </c>
    </row>
    <row r="59" spans="1:11" ht="27" customHeight="1" x14ac:dyDescent="0.25">
      <c r="A59" s="2" t="s">
        <v>119</v>
      </c>
      <c r="B59" s="3" t="s">
        <v>120</v>
      </c>
      <c r="C59" s="4">
        <f>IF(IF(ISNUMBER(VLOOKUP("3",A3:K117,3,FALSE)),VLOOKUP("3",A3:K117,3,FALSE),0)&gt;0,IF(ISNUMBER(VLOOKUP("3",A3:K117,3,FALSE)),VLOOKUP("3",A3:K117,3,FALSE),0),0)</f>
        <v>6381123.5099999979</v>
      </c>
      <c r="D59" s="4">
        <f>IF(IF(ISNUMBER(VLOOKUP("3",A3:K117,4,FALSE)),VLOOKUP("3",A3:K117,4,FALSE),0)&gt;0,IF(ISNUMBER(VLOOKUP("3",A3:K117,4,FALSE)),VLOOKUP("3",A3:K117,4,FALSE),0),0)</f>
        <v>12797348.579999998</v>
      </c>
      <c r="E59" s="4">
        <f>IF(IF(ISNUMBER(VLOOKUP("3",A3:K117,5,FALSE)),VLOOKUP("3",A3:K117,5,FALSE),0)&gt;0,IF(ISNUMBER(VLOOKUP("3",A3:K117,5,FALSE)),VLOOKUP("3",A3:K117,5,FALSE),0),0)</f>
        <v>59440335.82</v>
      </c>
      <c r="F59" s="4">
        <f>IF(IF(ISNUMBER(VLOOKUP("3",A3:K117,6,FALSE)),VLOOKUP("3",A3:K117,6,FALSE),0)&gt;0,IF(ISNUMBER(VLOOKUP("3",A3:K117,6,FALSE)),VLOOKUP("3",A3:K117,6,FALSE),0),0)</f>
        <v>66915184.829999998</v>
      </c>
      <c r="G59" s="4">
        <f>IF(IF(ISNUMBER(VLOOKUP("3",A3:K117,7,FALSE)),VLOOKUP("3",A3:K117,7,FALSE),0)&gt;0,IF(ISNUMBER(VLOOKUP("3",A3:K117,7,FALSE)),VLOOKUP("3",A3:K117,7,FALSE),0),0)</f>
        <v>11809666.179999992</v>
      </c>
      <c r="H59" s="4">
        <f>IF(IF(ISNUMBER(VLOOKUP("3",A3:K117,8,FALSE)),VLOOKUP("3",A3:K117,8,FALSE),0)&gt;0,IF(ISNUMBER(VLOOKUP("3",A3:K117,8,FALSE)),VLOOKUP("3",A3:K117,8,FALSE),0),0)</f>
        <v>11387319.879999995</v>
      </c>
      <c r="I59" s="4">
        <f>IF(IF(ISNUMBER(VLOOKUP("3",A3:K117,9,FALSE)),VLOOKUP("3",A3:K117,9,FALSE),0)&gt;0,IF(ISNUMBER(VLOOKUP("3",A3:K117,9,FALSE)),VLOOKUP("3",A3:K117,9,FALSE),0),0)</f>
        <v>12296010.310000002</v>
      </c>
      <c r="J59" s="4">
        <f>IF(IF(ISNUMBER(VLOOKUP("3",A3:K117,10,FALSE)),VLOOKUP("3",A3:K117,10,FALSE),0)&gt;0,IF(ISNUMBER(VLOOKUP("3",A3:K117,10,FALSE)),VLOOKUP("3",A3:K117,10,FALSE),0),0)</f>
        <v>12018754</v>
      </c>
      <c r="K59" s="4">
        <f>IF(IF(ISNUMBER(VLOOKUP("3",A3:K117,11,FALSE)),VLOOKUP("3",A3:K117,11,FALSE),0)&gt;0,IF(ISNUMBER(VLOOKUP("3",A3:K117,11,FALSE)),VLOOKUP("3",A3:K117,11,FALSE),0),0)</f>
        <v>12979254</v>
      </c>
    </row>
    <row r="60" spans="1:11" ht="27" customHeight="1" x14ac:dyDescent="0.25">
      <c r="A60" s="5" t="s">
        <v>121</v>
      </c>
      <c r="B60" s="6" t="s">
        <v>122</v>
      </c>
      <c r="C60" s="9">
        <f>IF(IF(ISNUMBER(VLOOKUP("3",A3:K117,3,FALSE)),VLOOKUP("3",A3:K117,3,FALSE),0)&gt;0,IF(IF(ISNUMBER(VLOOKUP("3",A3:K117,3,FALSE)),VLOOKUP("3",A3:K117,3,FALSE),0)&gt;IF(ISNUMBER(VLOOKUP("5.1",A3:K117,3,FALSE)),VLOOKUP("5.1",A3:K117,3,FALSE),0),IF(ISNUMBER(VLOOKUP("5.1",A3:K117,3,FALSE)),VLOOKUP("5.1",A3:K117,3,FALSE),0),IF(ISNUMBER(VLOOKUP("3",A3:K117,3,FALSE)),VLOOKUP("3",A3:K117,3,FALSE),0)),0)</f>
        <v>6381123.5099999979</v>
      </c>
      <c r="D60" s="9">
        <f>IF(IF(ISNUMBER(VLOOKUP("3",A3:K117,4,FALSE)),VLOOKUP("3",A3:K117,4,FALSE),0)&gt;0,IF(IF(ISNUMBER(VLOOKUP("3",A3:K117,4,FALSE)),VLOOKUP("3",A3:K117,4,FALSE),0)&gt;IF(ISNUMBER(VLOOKUP("5.1",A3:K117,4,FALSE)),VLOOKUP("5.1",A3:K117,4,FALSE),0),IF(ISNUMBER(VLOOKUP("5.1",A3:K117,4,FALSE)),VLOOKUP("5.1",A3:K117,4,FALSE),0),IF(ISNUMBER(VLOOKUP("3",A3:K117,4,FALSE)),VLOOKUP("3",A3:K117,4,FALSE),0)),0)</f>
        <v>12797348.579999998</v>
      </c>
      <c r="E60" s="9">
        <f>IF(IF(ISNUMBER(VLOOKUP("3",A3:K117,5,FALSE)),VLOOKUP("3",A3:K117,5,FALSE),0)&gt;0,IF(IF(ISNUMBER(VLOOKUP("3",A3:K117,5,FALSE)),VLOOKUP("3",A3:K117,5,FALSE),0)&gt;IF(ISNUMBER(VLOOKUP("5.1",A3:K117,5,FALSE)),VLOOKUP("5.1",A3:K117,5,FALSE),0),IF(ISNUMBER(VLOOKUP("5.1",A3:K117,5,FALSE)),VLOOKUP("5.1",A3:K117,5,FALSE),0),IF(ISNUMBER(VLOOKUP("3",A3:K117,5,FALSE)),VLOOKUP("3",A3:K117,5,FALSE),0)),0)</f>
        <v>59440335.82</v>
      </c>
      <c r="F60" s="9">
        <f>IF(IF(ISNUMBER(VLOOKUP("3",A3:K117,6,FALSE)),VLOOKUP("3",A3:K117,6,FALSE),0)&gt;0,IF(IF(ISNUMBER(VLOOKUP("3",A3:K117,6,FALSE)),VLOOKUP("3",A3:K117,6,FALSE),0)&gt;IF(ISNUMBER(VLOOKUP("5.1",A3:K117,6,FALSE)),VLOOKUP("5.1",A3:K117,6,FALSE),0),IF(ISNUMBER(VLOOKUP("5.1",A3:K117,6,FALSE)),VLOOKUP("5.1",A3:K117,6,FALSE),0),IF(ISNUMBER(VLOOKUP("3",A3:K117,6,FALSE)),VLOOKUP("3",A3:K117,6,FALSE),0)),0)</f>
        <v>60758762.670000002</v>
      </c>
      <c r="G60" s="9">
        <f>IF(IF(ISNUMBER(VLOOKUP("3",A3:K117,7,FALSE)),VLOOKUP("3",A3:K117,7,FALSE),0)&gt;0,IF(IF(ISNUMBER(VLOOKUP("3",A3:K117,7,FALSE)),VLOOKUP("3",A3:K117,7,FALSE),0)&gt;IF(ISNUMBER(VLOOKUP("5.1",A3:K117,7,FALSE)),VLOOKUP("5.1",A3:K117,7,FALSE),0),IF(ISNUMBER(VLOOKUP("5.1",A3:K117,7,FALSE)),VLOOKUP("5.1",A3:K117,7,FALSE),0),IF(ISNUMBER(VLOOKUP("3",A3:K117,7,FALSE)),VLOOKUP("3",A3:K117,7,FALSE),0)),0)</f>
        <v>11809666.179999992</v>
      </c>
      <c r="H60" s="9">
        <f>IF(IF(ISNUMBER(VLOOKUP("3",A3:K117,8,FALSE)),VLOOKUP("3",A3:K117,8,FALSE),0)&gt;0,IF(IF(ISNUMBER(VLOOKUP("3",A3:K117,8,FALSE)),VLOOKUP("3",A3:K117,8,FALSE),0)&gt;IF(ISNUMBER(VLOOKUP("5.1",A3:K117,8,FALSE)),VLOOKUP("5.1",A3:K117,8,FALSE),0),IF(ISNUMBER(VLOOKUP("5.1",A3:K117,8,FALSE)),VLOOKUP("5.1",A3:K117,8,FALSE),0),IF(ISNUMBER(VLOOKUP("3",A3:K117,8,FALSE)),VLOOKUP("3",A3:K117,8,FALSE),0)),0)</f>
        <v>11387319.879999995</v>
      </c>
      <c r="I60" s="9">
        <f>IF(IF(ISNUMBER(VLOOKUP("3",A3:K117,9,FALSE)),VLOOKUP("3",A3:K117,9,FALSE),0)&gt;0,IF(IF(ISNUMBER(VLOOKUP("3",A3:K117,9,FALSE)),VLOOKUP("3",A3:K117,9,FALSE),0)&gt;IF(ISNUMBER(VLOOKUP("5.1",A3:K117,9,FALSE)),VLOOKUP("5.1",A3:K117,9,FALSE),0),IF(ISNUMBER(VLOOKUP("5.1",A3:K117,9,FALSE)),VLOOKUP("5.1",A3:K117,9,FALSE),0),IF(ISNUMBER(VLOOKUP("3",A3:K117,9,FALSE)),VLOOKUP("3",A3:K117,9,FALSE),0)),0)</f>
        <v>12296010.310000002</v>
      </c>
      <c r="J60" s="9">
        <f>IF(IF(ISNUMBER(VLOOKUP("3",A3:K117,10,FALSE)),VLOOKUP("3",A3:K117,10,FALSE),0)&gt;0,IF(IF(ISNUMBER(VLOOKUP("3",A3:K117,10,FALSE)),VLOOKUP("3",A3:K117,10,FALSE),0)&gt;IF(ISNUMBER(VLOOKUP("5.1",A3:K117,10,FALSE)),VLOOKUP("5.1",A3:K117,10,FALSE),0),IF(ISNUMBER(VLOOKUP("5.1",A3:K117,10,FALSE)),VLOOKUP("5.1",A3:K117,10,FALSE),0),IF(ISNUMBER(VLOOKUP("3",A3:K117,10,FALSE)),VLOOKUP("3",A3:K117,10,FALSE),0)),0)</f>
        <v>10155303.210000001</v>
      </c>
      <c r="K60" s="9">
        <f>IF(IF(ISNUMBER(VLOOKUP("3",A3:K117,11,FALSE)),VLOOKUP("3",A3:K117,11,FALSE),0)&gt;0,IF(IF(ISNUMBER(VLOOKUP("3",A3:K117,11,FALSE)),VLOOKUP("3",A3:K117,11,FALSE),0)&gt;IF(ISNUMBER(VLOOKUP("5.1",A3:K117,11,FALSE)),VLOOKUP("5.1",A3:K117,11,FALSE),0),IF(ISNUMBER(VLOOKUP("5.1",A3:K117,11,FALSE)),VLOOKUP("5.1",A3:K117,11,FALSE),0),IF(ISNUMBER(VLOOKUP("3",A3:K117,11,FALSE)),VLOOKUP("3",A3:K117,11,FALSE),0)),0)</f>
        <v>9606211.0600000005</v>
      </c>
    </row>
    <row r="61" spans="1:11" ht="27" customHeight="1" x14ac:dyDescent="0.25">
      <c r="A61" s="2" t="s">
        <v>123</v>
      </c>
      <c r="B61" s="3" t="s">
        <v>124</v>
      </c>
      <c r="C61" s="27" t="s">
        <v>46</v>
      </c>
      <c r="D61" s="27" t="s">
        <v>46</v>
      </c>
      <c r="E61" s="27" t="s">
        <v>46</v>
      </c>
      <c r="F61" s="27" t="s">
        <v>46</v>
      </c>
      <c r="G61" s="27" t="s">
        <v>46</v>
      </c>
      <c r="H61" s="27" t="s">
        <v>46</v>
      </c>
      <c r="I61" s="27" t="s">
        <v>46</v>
      </c>
      <c r="J61" s="27" t="s">
        <v>46</v>
      </c>
      <c r="K61" s="27" t="s">
        <v>46</v>
      </c>
    </row>
    <row r="62" spans="1:11" ht="27" customHeight="1" x14ac:dyDescent="0.25">
      <c r="A62" s="5" t="s">
        <v>125</v>
      </c>
      <c r="B62" s="6" t="s">
        <v>126</v>
      </c>
      <c r="C62" s="7">
        <v>9090038.9399999995</v>
      </c>
      <c r="D62" s="7">
        <v>8684952.0600000005</v>
      </c>
      <c r="E62" s="7">
        <v>9411574.9900000002</v>
      </c>
      <c r="F62" s="7">
        <v>9187838</v>
      </c>
      <c r="G62" s="8">
        <v>9714561.9199999999</v>
      </c>
      <c r="H62" s="8">
        <v>9693028</v>
      </c>
      <c r="I62" s="8">
        <v>9814191</v>
      </c>
      <c r="J62" s="8">
        <v>9936868</v>
      </c>
      <c r="K62" s="8">
        <v>10061079</v>
      </c>
    </row>
    <row r="63" spans="1:11" ht="27" customHeight="1" x14ac:dyDescent="0.25">
      <c r="A63" s="5" t="s">
        <v>127</v>
      </c>
      <c r="B63" s="6" t="s">
        <v>128</v>
      </c>
      <c r="C63" s="7">
        <v>8848370.5999999996</v>
      </c>
      <c r="D63" s="7">
        <v>13397714.84</v>
      </c>
      <c r="E63" s="7">
        <v>6702361.3499999996</v>
      </c>
      <c r="F63" s="7">
        <v>5453408.8399999999</v>
      </c>
      <c r="G63" s="8">
        <v>7298372.5300000003</v>
      </c>
      <c r="H63" s="8">
        <v>7417745</v>
      </c>
      <c r="I63" s="8">
        <v>7510467</v>
      </c>
      <c r="J63" s="8">
        <v>7604348</v>
      </c>
      <c r="K63" s="8">
        <v>7699402</v>
      </c>
    </row>
    <row r="64" spans="1:11" ht="27" customHeight="1" x14ac:dyDescent="0.25">
      <c r="A64" s="5" t="s">
        <v>129</v>
      </c>
      <c r="B64" s="6" t="s">
        <v>130</v>
      </c>
      <c r="C64" s="9">
        <f>IF(ISNUMBER(VLOOKUP("11.3.1",A3:K117,3,FALSE)),VLOOKUP("11.3.1",A3:K117,3,FALSE),0) + IF(ISNUMBER(VLOOKUP("11.3.2",A3:K117,3,FALSE)),VLOOKUP("11.3.2",A3:K117,3,FALSE),0)</f>
        <v>0</v>
      </c>
      <c r="D64" s="9">
        <f>IF(ISNUMBER(VLOOKUP("11.3.1",A3:K117,4,FALSE)),VLOOKUP("11.3.1",A3:K117,4,FALSE),0) + IF(ISNUMBER(VLOOKUP("11.3.2",A3:K117,4,FALSE)),VLOOKUP("11.3.2",A3:K117,4,FALSE),0)</f>
        <v>4715847.7300000004</v>
      </c>
      <c r="E64" s="9">
        <f>IF(ISNUMBER(VLOOKUP("11.3.1",A3:K117,5,FALSE)),VLOOKUP("11.3.1",A3:K117,5,FALSE),0) + IF(ISNUMBER(VLOOKUP("11.3.2",A3:K117,5,FALSE)),VLOOKUP("11.3.2",A3:K117,5,FALSE),0)</f>
        <v>24247.9</v>
      </c>
      <c r="F64" s="9">
        <f>IF(ISNUMBER(VLOOKUP("11.3.1",A3:K117,6,FALSE)),VLOOKUP("11.3.1",A3:K117,6,FALSE),0) + IF(ISNUMBER(VLOOKUP("11.3.2",A3:K117,6,FALSE)),VLOOKUP("11.3.2",A3:K117,6,FALSE),0)</f>
        <v>24247.9</v>
      </c>
      <c r="G64" s="9">
        <f>IF(ISNUMBER(VLOOKUP("11.3.1",A3:K117,7,FALSE)),VLOOKUP("11.3.1",A3:K117,7,FALSE),0) + IF(ISNUMBER(VLOOKUP("11.3.2",A3:K117,7,FALSE)),VLOOKUP("11.3.2",A3:K117,7,FALSE),0)</f>
        <v>24247.9</v>
      </c>
      <c r="H64" s="9">
        <f>IF(ISNUMBER(VLOOKUP("11.3.1",A3:K117,8,FALSE)),VLOOKUP("11.3.1",A3:K117,8,FALSE),0) + IF(ISNUMBER(VLOOKUP("11.3.2",A3:K117,8,FALSE)),VLOOKUP("11.3.2",A3:K117,8,FALSE),0)</f>
        <v>0</v>
      </c>
      <c r="I64" s="9">
        <f>IF(ISNUMBER(VLOOKUP("11.3.1",A3:K117,9,FALSE)),VLOOKUP("11.3.1",A3:K117,9,FALSE),0) + IF(ISNUMBER(VLOOKUP("11.3.2",A3:K117,9,FALSE)),VLOOKUP("11.3.2",A3:K117,9,FALSE),0)</f>
        <v>0</v>
      </c>
      <c r="J64" s="9">
        <f>IF(ISNUMBER(VLOOKUP("11.3.1",A3:K117,10,FALSE)),VLOOKUP("11.3.1",A3:K117,10,FALSE),0) + IF(ISNUMBER(VLOOKUP("11.3.2",A3:K117,10,FALSE)),VLOOKUP("11.3.2",A3:K117,10,FALSE),0)</f>
        <v>0</v>
      </c>
      <c r="K64" s="9">
        <f>IF(ISNUMBER(VLOOKUP("11.3.1",A3:K117,11,FALSE)),VLOOKUP("11.3.1",A3:K117,11,FALSE),0) + IF(ISNUMBER(VLOOKUP("11.3.2",A3:K117,11,FALSE)),VLOOKUP("11.3.2",A3:K117,11,FALSE),0)</f>
        <v>0</v>
      </c>
    </row>
    <row r="65" spans="1:11" ht="14.25" customHeight="1" x14ac:dyDescent="0.25">
      <c r="A65" s="5" t="s">
        <v>131</v>
      </c>
      <c r="B65" s="6" t="s">
        <v>132</v>
      </c>
      <c r="C65" s="9">
        <v>0</v>
      </c>
      <c r="D65" s="9">
        <v>12949.16</v>
      </c>
      <c r="E65" s="9">
        <v>24247.9</v>
      </c>
      <c r="F65" s="9">
        <v>24247.9</v>
      </c>
      <c r="G65" s="9">
        <v>24247.9</v>
      </c>
      <c r="H65" s="9">
        <v>0</v>
      </c>
      <c r="I65" s="9">
        <v>0</v>
      </c>
      <c r="J65" s="9">
        <v>0</v>
      </c>
      <c r="K65" s="9">
        <v>0</v>
      </c>
    </row>
    <row r="66" spans="1:11" ht="14.25" customHeight="1" x14ac:dyDescent="0.25">
      <c r="A66" s="5" t="s">
        <v>133</v>
      </c>
      <c r="B66" s="6" t="s">
        <v>134</v>
      </c>
      <c r="C66" s="9">
        <v>0</v>
      </c>
      <c r="D66" s="9">
        <v>4702898.57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</row>
    <row r="67" spans="1:11" ht="14.25" customHeight="1" x14ac:dyDescent="0.25">
      <c r="A67" s="5" t="s">
        <v>135</v>
      </c>
      <c r="B67" s="6" t="s">
        <v>136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</row>
    <row r="68" spans="1:11" ht="14.25" customHeight="1" x14ac:dyDescent="0.25">
      <c r="A68" s="5" t="s">
        <v>137</v>
      </c>
      <c r="B68" s="6" t="s">
        <v>138</v>
      </c>
      <c r="C68" s="7">
        <v>9418705.7899999991</v>
      </c>
      <c r="D68" s="7">
        <v>4702898.57</v>
      </c>
      <c r="E68" s="7">
        <v>10000</v>
      </c>
      <c r="F68" s="7">
        <v>10000</v>
      </c>
      <c r="G68" s="8">
        <v>1881662</v>
      </c>
      <c r="H68" s="8">
        <v>0</v>
      </c>
      <c r="I68" s="8">
        <v>0</v>
      </c>
      <c r="J68" s="8">
        <v>0</v>
      </c>
      <c r="K68" s="8">
        <v>0</v>
      </c>
    </row>
    <row r="69" spans="1:11" ht="14.25" customHeight="1" x14ac:dyDescent="0.25">
      <c r="A69" s="5" t="s">
        <v>139</v>
      </c>
      <c r="B69" s="6" t="s">
        <v>140</v>
      </c>
      <c r="C69" s="7">
        <v>0</v>
      </c>
      <c r="D69" s="7">
        <v>0</v>
      </c>
      <c r="E69" s="7">
        <v>0</v>
      </c>
      <c r="F69" s="7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1:11" hidden="1" x14ac:dyDescent="0.25">
      <c r="A70" s="5" t="s">
        <v>141</v>
      </c>
      <c r="B70" s="6" t="s">
        <v>28</v>
      </c>
      <c r="C70" s="7">
        <v>0</v>
      </c>
      <c r="D70" s="7">
        <v>0</v>
      </c>
      <c r="E70" s="7">
        <v>0</v>
      </c>
      <c r="F70" s="7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1:11" ht="39.950000000000003" customHeight="1" x14ac:dyDescent="0.25">
      <c r="A71" s="2" t="s">
        <v>142</v>
      </c>
      <c r="B71" s="3" t="s">
        <v>143</v>
      </c>
      <c r="C71" s="27" t="s">
        <v>46</v>
      </c>
      <c r="D71" s="27" t="s">
        <v>46</v>
      </c>
      <c r="E71" s="27" t="s">
        <v>46</v>
      </c>
      <c r="F71" s="27" t="s">
        <v>46</v>
      </c>
      <c r="G71" s="27" t="s">
        <v>46</v>
      </c>
      <c r="H71" s="27" t="s">
        <v>46</v>
      </c>
      <c r="I71" s="27" t="s">
        <v>46</v>
      </c>
      <c r="J71" s="27" t="s">
        <v>46</v>
      </c>
      <c r="K71" s="27" t="s">
        <v>46</v>
      </c>
    </row>
    <row r="72" spans="1:11" ht="39.950000000000003" customHeight="1" x14ac:dyDescent="0.25">
      <c r="A72" s="5" t="s">
        <v>144</v>
      </c>
      <c r="B72" s="6" t="s">
        <v>145</v>
      </c>
      <c r="C72" s="7">
        <v>27252.81</v>
      </c>
      <c r="D72" s="7">
        <v>0</v>
      </c>
      <c r="E72" s="7">
        <v>35000</v>
      </c>
      <c r="F72" s="7">
        <v>0</v>
      </c>
      <c r="G72" s="8">
        <v>155000</v>
      </c>
      <c r="H72" s="8">
        <v>0</v>
      </c>
      <c r="I72" s="8">
        <v>0</v>
      </c>
      <c r="J72" s="8">
        <v>0</v>
      </c>
      <c r="K72" s="8">
        <v>0</v>
      </c>
    </row>
    <row r="73" spans="1:11" ht="14.25" customHeight="1" x14ac:dyDescent="0.25">
      <c r="A73" s="5" t="s">
        <v>146</v>
      </c>
      <c r="B73" s="6" t="s">
        <v>147</v>
      </c>
      <c r="C73" s="7">
        <v>27252.81</v>
      </c>
      <c r="D73" s="7">
        <v>0</v>
      </c>
      <c r="E73" s="7">
        <v>35000</v>
      </c>
      <c r="F73" s="7">
        <v>0</v>
      </c>
      <c r="G73" s="8">
        <v>155000</v>
      </c>
      <c r="H73" s="8">
        <v>0</v>
      </c>
      <c r="I73" s="8">
        <v>0</v>
      </c>
      <c r="J73" s="8">
        <v>0</v>
      </c>
      <c r="K73" s="8">
        <v>0</v>
      </c>
    </row>
    <row r="74" spans="1:11" ht="39.950000000000003" customHeight="1" x14ac:dyDescent="0.25">
      <c r="A74" s="5" t="s">
        <v>148</v>
      </c>
      <c r="B74" s="6" t="s">
        <v>149</v>
      </c>
      <c r="C74" s="7">
        <v>0</v>
      </c>
      <c r="D74" s="7">
        <v>0</v>
      </c>
      <c r="E74" s="7">
        <v>24247.9</v>
      </c>
      <c r="F74" s="7">
        <v>24247.9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ht="39.950000000000003" customHeight="1" x14ac:dyDescent="0.25">
      <c r="A75" s="5" t="s">
        <v>150</v>
      </c>
      <c r="B75" s="6" t="s">
        <v>151</v>
      </c>
      <c r="C75" s="7">
        <v>83643.28</v>
      </c>
      <c r="D75" s="7">
        <v>0</v>
      </c>
      <c r="E75" s="7">
        <v>0</v>
      </c>
      <c r="F75" s="7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1:11" ht="14.25" customHeight="1" x14ac:dyDescent="0.25">
      <c r="A76" s="5" t="s">
        <v>152</v>
      </c>
      <c r="B76" s="6" t="s">
        <v>147</v>
      </c>
      <c r="C76" s="7">
        <v>83643.28</v>
      </c>
      <c r="D76" s="7">
        <v>0</v>
      </c>
      <c r="E76" s="7">
        <v>0</v>
      </c>
      <c r="F76" s="7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1:11" ht="39.950000000000003" customHeight="1" x14ac:dyDescent="0.25">
      <c r="A77" s="5" t="s">
        <v>153</v>
      </c>
      <c r="B77" s="6" t="s">
        <v>154</v>
      </c>
      <c r="C77" s="7">
        <v>0</v>
      </c>
      <c r="D77" s="7">
        <v>0</v>
      </c>
      <c r="E77" s="7">
        <v>0</v>
      </c>
      <c r="F77" s="7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1:11" ht="39.950000000000003" customHeight="1" x14ac:dyDescent="0.25">
      <c r="A78" s="5" t="s">
        <v>155</v>
      </c>
      <c r="B78" s="6" t="s">
        <v>156</v>
      </c>
      <c r="C78" s="7">
        <v>133132.51</v>
      </c>
      <c r="D78" s="7">
        <v>29689.16</v>
      </c>
      <c r="E78" s="7">
        <v>0</v>
      </c>
      <c r="F78" s="7">
        <v>0</v>
      </c>
      <c r="G78" s="8">
        <v>145523.79999999999</v>
      </c>
      <c r="H78" s="8">
        <v>0</v>
      </c>
      <c r="I78" s="8">
        <v>0</v>
      </c>
      <c r="J78" s="8">
        <v>0</v>
      </c>
      <c r="K78" s="8">
        <v>0</v>
      </c>
    </row>
    <row r="79" spans="1:11" ht="27" customHeight="1" x14ac:dyDescent="0.25">
      <c r="A79" s="5" t="s">
        <v>157</v>
      </c>
      <c r="B79" s="6" t="s">
        <v>158</v>
      </c>
      <c r="C79" s="7">
        <v>93281.74</v>
      </c>
      <c r="D79" s="7">
        <v>29689.16</v>
      </c>
      <c r="E79" s="7">
        <v>0</v>
      </c>
      <c r="F79" s="7">
        <v>0</v>
      </c>
      <c r="G79" s="8">
        <v>145523.79999999999</v>
      </c>
      <c r="H79" s="8">
        <v>0</v>
      </c>
      <c r="I79" s="8">
        <v>0</v>
      </c>
      <c r="J79" s="8">
        <v>0</v>
      </c>
      <c r="K79" s="8">
        <v>0</v>
      </c>
    </row>
    <row r="80" spans="1:11" ht="52.9" customHeight="1" x14ac:dyDescent="0.25">
      <c r="A80" s="5" t="s">
        <v>159</v>
      </c>
      <c r="B80" s="6" t="s">
        <v>160</v>
      </c>
      <c r="C80" s="7">
        <v>0</v>
      </c>
      <c r="D80" s="7">
        <v>0</v>
      </c>
      <c r="E80" s="7">
        <v>0</v>
      </c>
      <c r="F80" s="7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1:11" ht="39.950000000000003" customHeight="1" x14ac:dyDescent="0.25">
      <c r="A81" s="5" t="s">
        <v>161</v>
      </c>
      <c r="B81" s="6" t="s">
        <v>162</v>
      </c>
      <c r="C81" s="7">
        <v>671261.05</v>
      </c>
      <c r="D81" s="7">
        <v>0</v>
      </c>
      <c r="E81" s="7">
        <v>0</v>
      </c>
      <c r="F81" s="7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1:11" ht="27" customHeight="1" x14ac:dyDescent="0.25">
      <c r="A82" s="5" t="s">
        <v>163</v>
      </c>
      <c r="B82" s="6" t="s">
        <v>158</v>
      </c>
      <c r="C82" s="7">
        <v>671261.05</v>
      </c>
      <c r="D82" s="7">
        <v>0</v>
      </c>
      <c r="E82" s="7">
        <v>0</v>
      </c>
      <c r="F82" s="7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1:11" ht="52.9" customHeight="1" x14ac:dyDescent="0.25">
      <c r="A83" s="5" t="s">
        <v>164</v>
      </c>
      <c r="B83" s="6" t="s">
        <v>165</v>
      </c>
      <c r="C83" s="7">
        <v>0</v>
      </c>
      <c r="D83" s="7">
        <v>0</v>
      </c>
      <c r="E83" s="7">
        <v>0</v>
      </c>
      <c r="F83" s="7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1:11" ht="65.650000000000006" customHeight="1" x14ac:dyDescent="0.25">
      <c r="A84" s="5" t="s">
        <v>166</v>
      </c>
      <c r="B84" s="6" t="s">
        <v>167</v>
      </c>
      <c r="C84" s="9">
        <f>(IF(ISNUMBER(VLOOKUP("12.3",A3:K117,3,FALSE)),VLOOKUP("12.3",A3:K117,3,FALSE),0)+IF(ISNUMBER(VLOOKUP("12.4",A3:K117,3,FALSE)),VLOOKUP("12.4",A3:K117,3,FALSE),0))-(IF(ISNUMBER(VLOOKUP("12.3.1",A3:K117,3,FALSE)),VLOOKUP("12.3.1",A3:K117,3,FALSE),0)+IF(ISNUMBER(VLOOKUP("12.4.1",A3:K117,3,FALSE)),VLOOKUP("12.4.1",A3:K117,3,FALSE),0))</f>
        <v>39850.770000000019</v>
      </c>
      <c r="D84" s="9">
        <f>(IF(ISNUMBER(VLOOKUP("12.3",A3:K117,4,FALSE)),VLOOKUP("12.3",A3:K117,4,FALSE),0)+IF(ISNUMBER(VLOOKUP("12.4",A3:K117,4,FALSE)),VLOOKUP("12.4",A3:K117,4,FALSE),0))-(IF(ISNUMBER(VLOOKUP("12.3.1",A3:K117,4,FALSE)),VLOOKUP("12.3.1",A3:K117,4,FALSE),0)+IF(ISNUMBER(VLOOKUP("12.4.1",A3:K117,4,FALSE)),VLOOKUP("12.4.1",A3:K117,4,FALSE),0))</f>
        <v>0</v>
      </c>
      <c r="E84" s="9">
        <f>(IF(ISNUMBER(VLOOKUP("12.3",A3:K117,5,FALSE)),VLOOKUP("12.3",A3:K117,5,FALSE),0)+IF(ISNUMBER(VLOOKUP("12.4",A3:K117,5,FALSE)),VLOOKUP("12.4",A3:K117,5,FALSE),0))-(IF(ISNUMBER(VLOOKUP("12.3.1",A3:K117,5,FALSE)),VLOOKUP("12.3.1",A3:K117,5,FALSE),0)+IF(ISNUMBER(VLOOKUP("12.4.1",A3:K117,5,FALSE)),VLOOKUP("12.4.1",A3:K117,5,FALSE),0))</f>
        <v>0</v>
      </c>
      <c r="F84" s="9">
        <f>(IF(ISNUMBER(VLOOKUP("12.3",A3:K117,6,FALSE)),VLOOKUP("12.3",A3:K117,6,FALSE),0)+IF(ISNUMBER(VLOOKUP("12.4",A3:K117,6,FALSE)),VLOOKUP("12.4",A3:K117,6,FALSE),0))-(IF(ISNUMBER(VLOOKUP("12.3.1",A3:K117,6,FALSE)),VLOOKUP("12.3.1",A3:K117,6,FALSE),0)+IF(ISNUMBER(VLOOKUP("12.4.1",A3:K117,6,FALSE)),VLOOKUP("12.4.1",A3:K117,6,FALSE),0))</f>
        <v>0</v>
      </c>
      <c r="G84" s="9">
        <f>(IF(ISNUMBER(VLOOKUP("12.3",A3:K117,7,FALSE)),VLOOKUP("12.3",A3:K117,7,FALSE),0)+IF(ISNUMBER(VLOOKUP("12.4",A3:K117,7,FALSE)),VLOOKUP("12.4",A3:K117,7,FALSE),0))-(IF(ISNUMBER(VLOOKUP("12.3.1",A3:K117,7,FALSE)),VLOOKUP("12.3.1",A3:K117,7,FALSE),0)+IF(ISNUMBER(VLOOKUP("12.4.1",A3:K117,7,FALSE)),VLOOKUP("12.4.1",A3:K117,7,FALSE),0))</f>
        <v>0</v>
      </c>
      <c r="H84" s="9">
        <f>(IF(ISNUMBER(VLOOKUP("12.3",A3:K117,8,FALSE)),VLOOKUP("12.3",A3:K117,8,FALSE),0)+IF(ISNUMBER(VLOOKUP("12.4",A3:K117,8,FALSE)),VLOOKUP("12.4",A3:K117,8,FALSE),0))-(IF(ISNUMBER(VLOOKUP("12.3.1",A3:K117,8,FALSE)),VLOOKUP("12.3.1",A3:K117,8,FALSE),0)+IF(ISNUMBER(VLOOKUP("12.4.1",A3:K117,8,FALSE)),VLOOKUP("12.4.1",A3:K117,8,FALSE),0))</f>
        <v>0</v>
      </c>
      <c r="I84" s="9">
        <f>(IF(ISNUMBER(VLOOKUP("12.3",A3:K117,9,FALSE)),VLOOKUP("12.3",A3:K117,9,FALSE),0)+IF(ISNUMBER(VLOOKUP("12.4",A3:K117,9,FALSE)),VLOOKUP("12.4",A3:K117,9,FALSE),0))-(IF(ISNUMBER(VLOOKUP("12.3.1",A3:K117,9,FALSE)),VLOOKUP("12.3.1",A3:K117,9,FALSE),0)+IF(ISNUMBER(VLOOKUP("12.4.1",A3:K117,9,FALSE)),VLOOKUP("12.4.1",A3:K117,9,FALSE),0))</f>
        <v>0</v>
      </c>
      <c r="J84" s="9">
        <f>(IF(ISNUMBER(VLOOKUP("12.3",A3:K117,10,FALSE)),VLOOKUP("12.3",A3:K117,10,FALSE),0)+IF(ISNUMBER(VLOOKUP("12.4",A3:K117,10,FALSE)),VLOOKUP("12.4",A3:K117,10,FALSE),0))-(IF(ISNUMBER(VLOOKUP("12.3.1",A3:K117,10,FALSE)),VLOOKUP("12.3.1",A3:K117,10,FALSE),0)+IF(ISNUMBER(VLOOKUP("12.4.1",A3:K117,10,FALSE)),VLOOKUP("12.4.1",A3:K117,10,FALSE),0))</f>
        <v>0</v>
      </c>
      <c r="K84" s="9">
        <f>(IF(ISNUMBER(VLOOKUP("12.3",A3:K117,11,FALSE)),VLOOKUP("12.3",A3:K117,11,FALSE),0)+IF(ISNUMBER(VLOOKUP("12.4",A3:K117,11,FALSE)),VLOOKUP("12.4",A3:K117,11,FALSE),0))-(IF(ISNUMBER(VLOOKUP("12.3.1",A3:K117,11,FALSE)),VLOOKUP("12.3.1",A3:K117,11,FALSE),0)+IF(ISNUMBER(VLOOKUP("12.4.1",A3:K117,11,FALSE)),VLOOKUP("12.4.1",A3:K117,11,FALSE),0))</f>
        <v>0</v>
      </c>
    </row>
    <row r="85" spans="1:11" ht="27" customHeight="1" x14ac:dyDescent="0.25">
      <c r="A85" s="5" t="s">
        <v>168</v>
      </c>
      <c r="B85" s="6" t="s">
        <v>169</v>
      </c>
      <c r="C85" s="7">
        <v>0</v>
      </c>
      <c r="D85" s="7">
        <v>0</v>
      </c>
      <c r="E85" s="7">
        <v>0</v>
      </c>
      <c r="F85" s="7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1:11" ht="52.9" customHeight="1" x14ac:dyDescent="0.25">
      <c r="A86" s="5" t="s">
        <v>170</v>
      </c>
      <c r="B86" s="6" t="s">
        <v>171</v>
      </c>
      <c r="C86" s="7">
        <v>0</v>
      </c>
      <c r="D86" s="7">
        <v>0</v>
      </c>
      <c r="E86" s="7">
        <v>0</v>
      </c>
      <c r="F86" s="7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1:11" ht="27" customHeight="1" x14ac:dyDescent="0.25">
      <c r="A87" s="5" t="s">
        <v>172</v>
      </c>
      <c r="B87" s="6" t="s">
        <v>169</v>
      </c>
      <c r="C87" s="7">
        <v>0</v>
      </c>
      <c r="D87" s="7">
        <v>0</v>
      </c>
      <c r="E87" s="7">
        <v>0</v>
      </c>
      <c r="F87" s="7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1:11" ht="78.599999999999994" customHeight="1" x14ac:dyDescent="0.25">
      <c r="A88" s="5" t="s">
        <v>173</v>
      </c>
      <c r="B88" s="6" t="s">
        <v>174</v>
      </c>
      <c r="C88" s="7">
        <v>0</v>
      </c>
      <c r="D88" s="7">
        <v>0</v>
      </c>
      <c r="E88" s="7">
        <v>0</v>
      </c>
      <c r="F88" s="7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1:11" ht="27" customHeight="1" x14ac:dyDescent="0.25">
      <c r="A89" s="5" t="s">
        <v>175</v>
      </c>
      <c r="B89" s="6" t="s">
        <v>169</v>
      </c>
      <c r="C89" s="7">
        <v>0</v>
      </c>
      <c r="D89" s="7">
        <v>0</v>
      </c>
      <c r="E89" s="7">
        <v>0</v>
      </c>
      <c r="F89" s="7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1:11" ht="65.650000000000006" customHeight="1" x14ac:dyDescent="0.25">
      <c r="A90" s="5" t="s">
        <v>176</v>
      </c>
      <c r="B90" s="6" t="s">
        <v>177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1:11" ht="27" customHeight="1" x14ac:dyDescent="0.25">
      <c r="A91" s="5" t="s">
        <v>178</v>
      </c>
      <c r="B91" s="6" t="s">
        <v>169</v>
      </c>
      <c r="C91" s="7">
        <v>0</v>
      </c>
      <c r="D91" s="7">
        <v>0</v>
      </c>
      <c r="E91" s="7">
        <v>0</v>
      </c>
      <c r="F91" s="7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1:11" ht="39.950000000000003" customHeight="1" x14ac:dyDescent="0.25">
      <c r="A92" s="2" t="s">
        <v>179</v>
      </c>
      <c r="B92" s="3" t="s">
        <v>180</v>
      </c>
      <c r="C92" s="27" t="s">
        <v>46</v>
      </c>
      <c r="D92" s="27" t="s">
        <v>46</v>
      </c>
      <c r="E92" s="27" t="s">
        <v>46</v>
      </c>
      <c r="F92" s="27" t="s">
        <v>46</v>
      </c>
      <c r="G92" s="27" t="s">
        <v>46</v>
      </c>
      <c r="H92" s="27" t="s">
        <v>46</v>
      </c>
      <c r="I92" s="27" t="s">
        <v>46</v>
      </c>
      <c r="J92" s="27" t="s">
        <v>46</v>
      </c>
      <c r="K92" s="27" t="s">
        <v>46</v>
      </c>
    </row>
    <row r="93" spans="1:11" ht="52.9" customHeight="1" x14ac:dyDescent="0.25">
      <c r="A93" s="5" t="s">
        <v>181</v>
      </c>
      <c r="B93" s="6" t="s">
        <v>182</v>
      </c>
      <c r="C93" s="7">
        <v>0</v>
      </c>
      <c r="D93" s="7">
        <v>0</v>
      </c>
      <c r="E93" s="7">
        <v>0</v>
      </c>
      <c r="F93" s="7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</row>
    <row r="94" spans="1:11" ht="52.9" customHeight="1" x14ac:dyDescent="0.25">
      <c r="A94" s="5" t="s">
        <v>183</v>
      </c>
      <c r="B94" s="6" t="s">
        <v>184</v>
      </c>
      <c r="C94" s="7">
        <v>0</v>
      </c>
      <c r="D94" s="7">
        <v>0</v>
      </c>
      <c r="E94" s="7">
        <v>0</v>
      </c>
      <c r="F94" s="7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1:11" ht="27" customHeight="1" x14ac:dyDescent="0.25">
      <c r="A95" s="5" t="s">
        <v>185</v>
      </c>
      <c r="B95" s="6" t="s">
        <v>186</v>
      </c>
      <c r="C95" s="7">
        <v>0</v>
      </c>
      <c r="D95" s="7">
        <v>0</v>
      </c>
      <c r="E95" s="7">
        <v>0</v>
      </c>
      <c r="F95" s="7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1:11" ht="52.9" customHeight="1" x14ac:dyDescent="0.25">
      <c r="A96" s="5" t="s">
        <v>187</v>
      </c>
      <c r="B96" s="6" t="s">
        <v>188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1:11" ht="52.9" customHeight="1" x14ac:dyDescent="0.25">
      <c r="A97" s="5" t="s">
        <v>189</v>
      </c>
      <c r="B97" s="6" t="s">
        <v>190</v>
      </c>
      <c r="C97" s="7">
        <v>0</v>
      </c>
      <c r="D97" s="7">
        <v>0</v>
      </c>
      <c r="E97" s="7">
        <v>0</v>
      </c>
      <c r="F97" s="7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1:11" ht="39.950000000000003" customHeight="1" x14ac:dyDescent="0.25">
      <c r="A98" s="5" t="s">
        <v>191</v>
      </c>
      <c r="B98" s="6" t="s">
        <v>192</v>
      </c>
      <c r="C98" s="7">
        <v>0</v>
      </c>
      <c r="D98" s="7">
        <v>0</v>
      </c>
      <c r="E98" s="7">
        <v>0</v>
      </c>
      <c r="F98" s="7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</row>
    <row r="99" spans="1:11" ht="39.950000000000003" customHeight="1" x14ac:dyDescent="0.25">
      <c r="A99" s="5" t="s">
        <v>193</v>
      </c>
      <c r="B99" s="6" t="s">
        <v>194</v>
      </c>
      <c r="C99" s="7">
        <v>0</v>
      </c>
      <c r="D99" s="7">
        <v>0</v>
      </c>
      <c r="E99" s="7">
        <v>0</v>
      </c>
      <c r="F99" s="7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1:11" ht="14.25" customHeight="1" x14ac:dyDescent="0.25">
      <c r="A100" s="2" t="s">
        <v>195</v>
      </c>
      <c r="B100" s="3" t="s">
        <v>196</v>
      </c>
      <c r="C100" s="27" t="s">
        <v>46</v>
      </c>
      <c r="D100" s="27" t="s">
        <v>46</v>
      </c>
      <c r="E100" s="27" t="s">
        <v>46</v>
      </c>
      <c r="F100" s="27" t="s">
        <v>46</v>
      </c>
      <c r="G100" s="27" t="s">
        <v>46</v>
      </c>
      <c r="H100" s="27" t="s">
        <v>46</v>
      </c>
      <c r="I100" s="27" t="s">
        <v>46</v>
      </c>
      <c r="J100" s="27" t="s">
        <v>46</v>
      </c>
      <c r="K100" s="27" t="s">
        <v>46</v>
      </c>
    </row>
    <row r="101" spans="1:11" ht="39.950000000000003" customHeight="1" x14ac:dyDescent="0.25">
      <c r="A101" s="5" t="s">
        <v>197</v>
      </c>
      <c r="B101" s="6" t="s">
        <v>198</v>
      </c>
      <c r="C101" s="9">
        <v>6713226.4000000004</v>
      </c>
      <c r="D101" s="9">
        <v>112586566.5</v>
      </c>
      <c r="E101" s="9">
        <v>60758762.670000002</v>
      </c>
      <c r="F101" s="9">
        <v>60758762.670000002</v>
      </c>
      <c r="G101" s="9">
        <v>11940914</v>
      </c>
      <c r="H101" s="9">
        <v>11387319.880000001</v>
      </c>
      <c r="I101" s="9">
        <v>12296010.310000001</v>
      </c>
      <c r="J101" s="9">
        <v>10155303.210000001</v>
      </c>
      <c r="K101" s="9">
        <v>9606211.0600000005</v>
      </c>
    </row>
    <row r="102" spans="1:11" ht="27" customHeight="1" x14ac:dyDescent="0.25">
      <c r="A102" s="5" t="s">
        <v>199</v>
      </c>
      <c r="B102" s="6" t="s">
        <v>200</v>
      </c>
      <c r="C102" s="9">
        <v>16398118.720000001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</row>
    <row r="103" spans="1:11" ht="14.25" customHeight="1" x14ac:dyDescent="0.25">
      <c r="A103" s="5" t="s">
        <v>201</v>
      </c>
      <c r="B103" s="6" t="s">
        <v>202</v>
      </c>
      <c r="C103" s="9">
        <f>IF(ISNUMBER(VLOOKUP("14.3.1",A3:K117,3,FALSE)),VLOOKUP("14.3.1",A3:K117,3,FALSE),0) + IF(ISNUMBER(VLOOKUP("14.3.2",A3:K117,3,FALSE)),VLOOKUP("14.3.2",A3:K117,3,FALSE),0) + IF(ISNUMBER(VLOOKUP("14.3.3",A3:K117,3,FALSE)),VLOOKUP("14.3.3",A3:K117,3,FALSE),0)</f>
        <v>2615420.96</v>
      </c>
      <c r="D103" s="9">
        <f>IF(ISNUMBER(VLOOKUP("14.3.1",A3:K117,4,FALSE)),VLOOKUP("14.3.1",A3:K117,4,FALSE),0) + IF(ISNUMBER(VLOOKUP("14.3.2",A3:K117,4,FALSE)),VLOOKUP("14.3.2",A3:K117,4,FALSE),0) + IF(ISNUMBER(VLOOKUP("14.3.3",A3:K117,4,FALSE)),VLOOKUP("14.3.3",A3:K117,4,FALSE),0)</f>
        <v>16398118.720000001</v>
      </c>
      <c r="E103" s="9">
        <f>IF(ISNUMBER(VLOOKUP("14.3.1",A3:K117,5,FALSE)),VLOOKUP("14.3.1",A3:K117,5,FALSE),0) + IF(ISNUMBER(VLOOKUP("14.3.2",A3:K117,5,FALSE)),VLOOKUP("14.3.2",A3:K117,5,FALSE),0) + IF(ISNUMBER(VLOOKUP("14.3.3",A3:K117,5,FALSE)),VLOOKUP("14.3.3",A3:K117,5,FALSE),0)</f>
        <v>0</v>
      </c>
      <c r="F103" s="9">
        <f>IF(ISNUMBER(VLOOKUP("14.3.1",A3:K117,6,FALSE)),VLOOKUP("14.3.1",A3:K117,6,FALSE),0) + IF(ISNUMBER(VLOOKUP("14.3.2",A3:K117,6,FALSE)),VLOOKUP("14.3.2",A3:K117,6,FALSE),0) + IF(ISNUMBER(VLOOKUP("14.3.3",A3:K117,6,FALSE)),VLOOKUP("14.3.3",A3:K117,6,FALSE),0)</f>
        <v>0</v>
      </c>
      <c r="G103" s="9">
        <f>IF(ISNUMBER(VLOOKUP("14.3.1",A3:K117,7,FALSE)),VLOOKUP("14.3.1",A3:K117,7,FALSE),0) + IF(ISNUMBER(VLOOKUP("14.3.2",A3:K117,7,FALSE)),VLOOKUP("14.3.2",A3:K117,7,FALSE),0) + IF(ISNUMBER(VLOOKUP("14.3.3",A3:K117,7,FALSE)),VLOOKUP("14.3.3",A3:K117,7,FALSE),0)</f>
        <v>0</v>
      </c>
      <c r="H103" s="9">
        <f>IF(ISNUMBER(VLOOKUP("14.3.1",A3:K117,8,FALSE)),VLOOKUP("14.3.1",A3:K117,8,FALSE),0) + IF(ISNUMBER(VLOOKUP("14.3.2",A3:K117,8,FALSE)),VLOOKUP("14.3.2",A3:K117,8,FALSE),0) + IF(ISNUMBER(VLOOKUP("14.3.3",A3:K117,8,FALSE)),VLOOKUP("14.3.3",A3:K117,8,FALSE),0)</f>
        <v>0</v>
      </c>
      <c r="I103" s="9">
        <f>IF(ISNUMBER(VLOOKUP("14.3.1",A3:K117,9,FALSE)),VLOOKUP("14.3.1",A3:K117,9,FALSE),0) + IF(ISNUMBER(VLOOKUP("14.3.2",A3:K117,9,FALSE)),VLOOKUP("14.3.2",A3:K117,9,FALSE),0) + IF(ISNUMBER(VLOOKUP("14.3.3",A3:K117,9,FALSE)),VLOOKUP("14.3.3",A3:K117,9,FALSE),0)</f>
        <v>0</v>
      </c>
      <c r="J103" s="9">
        <f>IF(ISNUMBER(VLOOKUP("14.3.1",A3:K117,10,FALSE)),VLOOKUP("14.3.1",A3:K117,10,FALSE),0) + IF(ISNUMBER(VLOOKUP("14.3.2",A3:K117,10,FALSE)),VLOOKUP("14.3.2",A3:K117,10,FALSE),0) + IF(ISNUMBER(VLOOKUP("14.3.3",A3:K117,10,FALSE)),VLOOKUP("14.3.3",A3:K117,10,FALSE),0)</f>
        <v>0</v>
      </c>
      <c r="K103" s="9">
        <f>IF(ISNUMBER(VLOOKUP("14.3.1",A3:K117,11,FALSE)),VLOOKUP("14.3.1",A3:K117,11,FALSE),0) + IF(ISNUMBER(VLOOKUP("14.3.2",A3:K117,11,FALSE)),VLOOKUP("14.3.2",A3:K117,11,FALSE),0) + IF(ISNUMBER(VLOOKUP("14.3.3",A3:K117,11,FALSE)),VLOOKUP("14.3.3",A3:K117,11,FALSE),0)</f>
        <v>0</v>
      </c>
    </row>
    <row r="104" spans="1:11" ht="27" customHeight="1" x14ac:dyDescent="0.25">
      <c r="A104" s="5" t="s">
        <v>203</v>
      </c>
      <c r="B104" s="6" t="s">
        <v>204</v>
      </c>
      <c r="C104" s="9">
        <v>2615420.96</v>
      </c>
      <c r="D104" s="9">
        <v>16398118.720000001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</row>
    <row r="105" spans="1:11" ht="27" customHeight="1" x14ac:dyDescent="0.25">
      <c r="A105" s="5" t="s">
        <v>205</v>
      </c>
      <c r="B105" s="6" t="s">
        <v>206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</row>
    <row r="106" spans="1:11" ht="14.25" customHeight="1" x14ac:dyDescent="0.25">
      <c r="A106" s="5" t="s">
        <v>207</v>
      </c>
      <c r="B106" s="6" t="s">
        <v>208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</row>
    <row r="107" spans="1:11" ht="27" customHeight="1" x14ac:dyDescent="0.25">
      <c r="A107" s="5" t="s">
        <v>209</v>
      </c>
      <c r="B107" s="6" t="s">
        <v>210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</row>
    <row r="108" spans="1:11" ht="14.25" customHeight="1" x14ac:dyDescent="0.25">
      <c r="A108" s="2" t="s">
        <v>211</v>
      </c>
      <c r="B108" s="3" t="s">
        <v>212</v>
      </c>
      <c r="C108" s="27" t="s">
        <v>46</v>
      </c>
      <c r="D108" s="27" t="s">
        <v>46</v>
      </c>
      <c r="E108" s="27" t="s">
        <v>46</v>
      </c>
      <c r="F108" s="27" t="s">
        <v>46</v>
      </c>
      <c r="G108" s="27" t="s">
        <v>46</v>
      </c>
      <c r="H108" s="27" t="s">
        <v>46</v>
      </c>
      <c r="I108" s="27" t="s">
        <v>46</v>
      </c>
      <c r="J108" s="27" t="s">
        <v>46</v>
      </c>
      <c r="K108" s="27" t="s">
        <v>46</v>
      </c>
    </row>
    <row r="109" spans="1:11" ht="27" customHeight="1" x14ac:dyDescent="0.25">
      <c r="A109" s="5" t="s">
        <v>213</v>
      </c>
      <c r="B109" s="6" t="s">
        <v>214</v>
      </c>
      <c r="C109" s="7">
        <v>0</v>
      </c>
      <c r="D109" s="7">
        <v>0</v>
      </c>
      <c r="E109" s="7">
        <v>0</v>
      </c>
      <c r="F109" s="7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</row>
    <row r="110" spans="1:11" ht="14.25" customHeight="1" x14ac:dyDescent="0.25">
      <c r="A110" s="5" t="s">
        <v>215</v>
      </c>
      <c r="B110" s="6" t="s">
        <v>216</v>
      </c>
      <c r="C110" s="7">
        <v>0</v>
      </c>
      <c r="D110" s="7">
        <v>0</v>
      </c>
      <c r="E110" s="7">
        <v>0</v>
      </c>
      <c r="F110" s="7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</row>
    <row r="111" spans="1:11" ht="39.950000000000003" customHeight="1" x14ac:dyDescent="0.25">
      <c r="A111" s="5" t="s">
        <v>217</v>
      </c>
      <c r="B111" s="6" t="s">
        <v>218</v>
      </c>
      <c r="C111" s="7">
        <v>0</v>
      </c>
      <c r="D111" s="7">
        <v>0</v>
      </c>
      <c r="E111" s="7">
        <v>0</v>
      </c>
      <c r="F111" s="7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</row>
    <row r="112" spans="1:11" ht="27" customHeight="1" x14ac:dyDescent="0.25">
      <c r="A112" s="2" t="s">
        <v>219</v>
      </c>
      <c r="B112" s="3" t="s">
        <v>220</v>
      </c>
      <c r="C112" s="27" t="s">
        <v>46</v>
      </c>
      <c r="D112" s="27" t="s">
        <v>46</v>
      </c>
      <c r="E112" s="27" t="s">
        <v>46</v>
      </c>
      <c r="F112" s="27" t="s">
        <v>46</v>
      </c>
      <c r="G112" s="27" t="s">
        <v>46</v>
      </c>
      <c r="H112" s="27" t="s">
        <v>46</v>
      </c>
      <c r="I112" s="27" t="s">
        <v>46</v>
      </c>
      <c r="J112" s="27" t="s">
        <v>46</v>
      </c>
      <c r="K112" s="27" t="s">
        <v>46</v>
      </c>
    </row>
    <row r="113" spans="1:11" ht="27" customHeight="1" x14ac:dyDescent="0.25">
      <c r="A113" s="5" t="s">
        <v>221</v>
      </c>
      <c r="B113" s="6" t="s">
        <v>222</v>
      </c>
      <c r="C113" s="7">
        <f>IF(ISNUMBER(VLOOKUP("1.1",A3:K117,3,FALSE)),VLOOKUP("1.1",A3:K117,3,FALSE),0) + IF(ISNUMBER(VLOOKUP("4.1",A3:K117,3,FALSE)),VLOOKUP("4.1",A3:K117,3,FALSE),0) + IF(ISNUMBER(VLOOKUP("4.2",A3:K117,3,FALSE)),VLOOKUP("4.2",A3:K117,3,FALSE),0) - (IF(ISNUMBER(VLOOKUP("2.1",A3:K117,3,FALSE)),VLOOKUP("2.1",A3:K117,3,FALSE),0) - IF(ISNUMBER(VLOOKUP("2.1.2",A3:K117,3,FALSE)),VLOOKUP("2.1.2",A3:K117,3,FALSE),0))</f>
        <v>3736418.1400000006</v>
      </c>
      <c r="D113" s="7">
        <f>IF(ISNUMBER(VLOOKUP("1.1",A3:K117,4,FALSE)),VLOOKUP("1.1",A3:K117,4,FALSE),0) + IF(ISNUMBER(VLOOKUP("4.1",A3:K117,4,FALSE)),VLOOKUP("4.1",A3:K117,4,FALSE),0) + IF(ISNUMBER(VLOOKUP("4.2",A3:K117,4,FALSE)),VLOOKUP("4.2",A3:K117,4,FALSE),0) - (IF(ISNUMBER(VLOOKUP("2.1",A3:K117,4,FALSE)),VLOOKUP("2.1",A3:K117,4,FALSE),0) - IF(ISNUMBER(VLOOKUP("2.1.2",A3:K117,4,FALSE)),VLOOKUP("2.1.2",A3:K117,4,FALSE),0))</f>
        <v>-14642993.82</v>
      </c>
      <c r="E113" s="7">
        <f>IF(ISNUMBER(VLOOKUP("1.1",A3:K117,5,FALSE)),VLOOKUP("1.1",A3:K117,5,FALSE),0) + IF(ISNUMBER(VLOOKUP("4.1",A3:K117,5,FALSE)),VLOOKUP("4.1",A3:K117,5,FALSE),0) + IF(ISNUMBER(VLOOKUP("4.2",A3:K117,5,FALSE)),VLOOKUP("4.2",A3:K117,5,FALSE),0) - (IF(ISNUMBER(VLOOKUP("2.1",A3:K117,5,FALSE)),VLOOKUP("2.1",A3:K117,5,FALSE),0) - IF(ISNUMBER(VLOOKUP("2.1.2",A3:K117,5,FALSE)),VLOOKUP("2.1.2",A3:K117,5,FALSE),0))</f>
        <v>7478762.6700000018</v>
      </c>
      <c r="F113" s="7">
        <f>IF(ISNUMBER(VLOOKUP("1.1",A3:K117,6,FALSE)),VLOOKUP("1.1",A3:K117,6,FALSE),0) + IF(ISNUMBER(VLOOKUP("4.1",A3:K117,6,FALSE)),VLOOKUP("4.1",A3:K117,6,FALSE),0) + IF(ISNUMBER(VLOOKUP("4.2",A3:K117,6,FALSE)),VLOOKUP("4.2",A3:K117,6,FALSE),0) - (IF(ISNUMBER(VLOOKUP("2.1",A3:K117,6,FALSE)),VLOOKUP("2.1",A3:K117,6,FALSE),0) - IF(ISNUMBER(VLOOKUP("2.1.2",A3:K117,6,FALSE)),VLOOKUP("2.1.2",A3:K117,6,FALSE),0))</f>
        <v>8912471.3399999961</v>
      </c>
      <c r="G113" s="8">
        <f>IF(ISNUMBER(VLOOKUP("1.1",A3:K117,7,FALSE)),VLOOKUP("1.1",A3:K117,7,FALSE),0) + IF(ISNUMBER(VLOOKUP("4.1",A3:K117,7,FALSE)),VLOOKUP("4.1",A3:K117,7,FALSE),0) + IF(ISNUMBER(VLOOKUP("4.2",A3:K117,7,FALSE)),VLOOKUP("4.2",A3:K117,7,FALSE),0) - (IF(ISNUMBER(VLOOKUP("2.1",A3:K117,7,FALSE)),VLOOKUP("2.1",A3:K117,7,FALSE),0) - IF(ISNUMBER(VLOOKUP("2.1.2",A3:K117,7,FALSE)),VLOOKUP("2.1.2",A3:K117,7,FALSE),0))</f>
        <v>7784467.9999999925</v>
      </c>
      <c r="H113" s="8">
        <f>IF(ISNUMBER(VLOOKUP("1.1",A3:K117,8,FALSE)),VLOOKUP("1.1",A3:K117,8,FALSE),0) + IF(ISNUMBER(VLOOKUP("4.1",A3:K117,8,FALSE)),VLOOKUP("4.1",A3:K117,8,FALSE),0) + IF(ISNUMBER(VLOOKUP("4.2",A3:K117,8,FALSE)),VLOOKUP("4.2",A3:K117,8,FALSE),0) - (IF(ISNUMBER(VLOOKUP("2.1",A3:K117,8,FALSE)),VLOOKUP("2.1",A3:K117,8,FALSE),0) - IF(ISNUMBER(VLOOKUP("2.1.2",A3:K117,8,FALSE)),VLOOKUP("2.1.2",A3:K117,8,FALSE),0))</f>
        <v>9987319.8799999952</v>
      </c>
      <c r="I113" s="8">
        <f>IF(ISNUMBER(VLOOKUP("1.1",A3:K117,9,FALSE)),VLOOKUP("1.1",A3:K117,9,FALSE),0) + IF(ISNUMBER(VLOOKUP("4.1",A3:K117,9,FALSE)),VLOOKUP("4.1",A3:K117,9,FALSE),0) + IF(ISNUMBER(VLOOKUP("4.2",A3:K117,9,FALSE)),VLOOKUP("4.2",A3:K117,9,FALSE),0) - (IF(ISNUMBER(VLOOKUP("2.1",A3:K117,9,FALSE)),VLOOKUP("2.1",A3:K117,9,FALSE),0) - IF(ISNUMBER(VLOOKUP("2.1.2",A3:K117,9,FALSE)),VLOOKUP("2.1.2",A3:K117,9,FALSE),0))</f>
        <v>10846010.310000002</v>
      </c>
      <c r="J113" s="8">
        <f>IF(ISNUMBER(VLOOKUP("1.1",A3:K117,10,FALSE)),VLOOKUP("1.1",A3:K117,10,FALSE),0) + IF(ISNUMBER(VLOOKUP("4.1",A3:K117,10,FALSE)),VLOOKUP("4.1",A3:K117,10,FALSE),0) + IF(ISNUMBER(VLOOKUP("4.2",A3:K117,10,FALSE)),VLOOKUP("4.2",A3:K117,10,FALSE),0) - (IF(ISNUMBER(VLOOKUP("2.1",A3:K117,10,FALSE)),VLOOKUP("2.1",A3:K117,10,FALSE),0) - IF(ISNUMBER(VLOOKUP("2.1.2",A3:K117,10,FALSE)),VLOOKUP("2.1.2",A3:K117,10,FALSE),0))</f>
        <v>12018754</v>
      </c>
      <c r="K113" s="8">
        <f>IF(ISNUMBER(VLOOKUP("1.1",A3:K117,11,FALSE)),VLOOKUP("1.1",A3:K117,11,FALSE),0) + IF(ISNUMBER(VLOOKUP("4.1",A3:K117,11,FALSE)),VLOOKUP("4.1",A3:K117,11,FALSE),0) + IF(ISNUMBER(VLOOKUP("4.2",A3:K117,11,FALSE)),VLOOKUP("4.2",A3:K117,11,FALSE),0) - (IF(ISNUMBER(VLOOKUP("2.1",A3:K117,11,FALSE)),VLOOKUP("2.1",A3:K117,11,FALSE),0) - IF(ISNUMBER(VLOOKUP("2.1.2",A3:K117,11,FALSE)),VLOOKUP("2.1.2",A3:K117,11,FALSE),0))</f>
        <v>12979254</v>
      </c>
    </row>
    <row r="114" spans="1:11" ht="27" customHeight="1" x14ac:dyDescent="0.25">
      <c r="A114" s="12" t="s">
        <v>223</v>
      </c>
      <c r="B114" s="13" t="s">
        <v>224</v>
      </c>
      <c r="C114" s="22">
        <f>IF(ISNUMBER(VLOOKUP("9.6",A3:K117,3,FALSE)),VLOOKUP("9.6",A3:K117,3,FALSE),0) - IF(ISNUMBER(VLOOKUP("9.4",A3:K117,3,FALSE)),VLOOKUP("9.4",A3:K117,3,FALSE),0)</f>
        <v>-5.5202021149099112E-2</v>
      </c>
      <c r="D114" s="22">
        <f>IF(ISNUMBER(VLOOKUP("9.6",A3:K117,4,FALSE)),VLOOKUP("9.6",A3:K117,4,FALSE),0) - IF(ISNUMBER(VLOOKUP("9.4",A3:K117,4,FALSE)),VLOOKUP("9.4",A3:K117,4,FALSE),0)</f>
        <v>-1.41224380234512</v>
      </c>
      <c r="E114" s="22">
        <f>IF(ISNUMBER(VLOOKUP("9.6",A3:K117,5,FALSE)),VLOOKUP("9.6",A3:K117,5,FALSE),0) - IF(ISNUMBER(VLOOKUP("9.4",A3:K117,5,FALSE)),VLOOKUP("9.4",A3:K117,5,FALSE),0)</f>
        <v>-0.48722402739178661</v>
      </c>
      <c r="F114" s="22">
        <f>IF(ISNUMBER(VLOOKUP("9.6",A3:K117,6,FALSE)),VLOOKUP("9.6",A3:K117,6,FALSE),0) - IF(ISNUMBER(VLOOKUP("9.4",A3:K117,6,FALSE)),VLOOKUP("9.4",A3:K117,6,FALSE),0)</f>
        <v>-0.44776689354920551</v>
      </c>
      <c r="G114" s="23">
        <f>IF(ISNUMBER(VLOOKUP("9.6",A3:K117,7,FALSE)),VLOOKUP("9.6",A3:K117,7,FALSE),0) - IF(ISNUMBER(VLOOKUP("9.4",A3:K117,7,FALSE)),VLOOKUP("9.4",A3:K117,7,FALSE),0)</f>
        <v>0.12340495745766317</v>
      </c>
      <c r="H114" s="23">
        <f>IF(ISNUMBER(VLOOKUP("9.6",A3:K117,8,FALSE)),VLOOKUP("9.6",A3:K117,8,FALSE),0) - IF(ISNUMBER(VLOOKUP("9.4",A3:K117,8,FALSE)),VLOOKUP("9.4",A3:K117,8,FALSE),0)</f>
        <v>0.11416810563039398</v>
      </c>
      <c r="I114" s="23">
        <f>IF(ISNUMBER(VLOOKUP("9.6",A3:K117,9,FALSE)),VLOOKUP("9.6",A3:K117,9,FALSE),0) - IF(ISNUMBER(VLOOKUP("9.4",A3:K117,9,FALSE)),VLOOKUP("9.4",A3:K117,9,FALSE),0)</f>
        <v>0.10494593508810196</v>
      </c>
      <c r="J114" s="23">
        <f>IF(ISNUMBER(VLOOKUP("9.6",A3:K117,10,FALSE)),VLOOKUP("9.6",A3:K117,10,FALSE),0) - IF(ISNUMBER(VLOOKUP("9.4",A3:K117,10,FALSE)),VLOOKUP("9.4",A3:K117,10,FALSE),0)</f>
        <v>3.2108352833719239E-2</v>
      </c>
      <c r="K114" s="23">
        <f>IF(ISNUMBER(VLOOKUP("9.6",A3:K117,11,FALSE)),VLOOKUP("9.6",A3:K117,11,FALSE),0) - IF(ISNUMBER(VLOOKUP("9.4",A3:K117,11,FALSE)),VLOOKUP("9.4",A3:K117,11,FALSE),0)</f>
        <v>4.4250113121122037E-2</v>
      </c>
    </row>
    <row r="115" spans="1:11" ht="27" customHeight="1" x14ac:dyDescent="0.25">
      <c r="A115" s="12" t="s">
        <v>225</v>
      </c>
      <c r="B115" s="13" t="s">
        <v>226</v>
      </c>
      <c r="C115" s="22">
        <f>IF(ISNUMBER(VLOOKUP("9.6.1",A3:K117,3,FALSE)),VLOOKUP("9.6.1",A3:K117,3,FALSE),0) - IF(ISNUMBER(VLOOKUP("9.4",A3:K117,3,FALSE)),VLOOKUP("9.4",A3:K117,3,FALSE),0)</f>
        <v>-5.5202021149099112E-2</v>
      </c>
      <c r="D115" s="22">
        <f>IF(ISNUMBER(VLOOKUP("9.6.1",A3:K117,4,FALSE)),VLOOKUP("9.6.1",A3:K117,4,FALSE),0) - IF(ISNUMBER(VLOOKUP("9.4",A3:K117,4,FALSE)),VLOOKUP("9.4",A3:K117,4,FALSE),0)</f>
        <v>-1.41224380234512</v>
      </c>
      <c r="E115" s="22">
        <f>IF(ISNUMBER(VLOOKUP("9.6.1",A3:K117,5,FALSE)),VLOOKUP("9.6.1",A3:K117,5,FALSE),0) - IF(ISNUMBER(VLOOKUP("9.4",A3:K117,5,FALSE)),VLOOKUP("9.4",A3:K117,5,FALSE),0)</f>
        <v>-0.48722402739178661</v>
      </c>
      <c r="F115" s="22">
        <f>IF(ISNUMBER(VLOOKUP("9.6.1",A3:K117,6,FALSE)),VLOOKUP("9.6.1",A3:K117,6,FALSE),0) - IF(ISNUMBER(VLOOKUP("9.4",A3:K117,6,FALSE)),VLOOKUP("9.4",A3:K117,6,FALSE),0)</f>
        <v>-0.44776689354920551</v>
      </c>
      <c r="G115" s="23">
        <f>IF(ISNUMBER(VLOOKUP("9.6.1",A3:K117,7,FALSE)),VLOOKUP("9.6.1",A3:K117,7,FALSE),0) - IF(ISNUMBER(VLOOKUP("9.4",A3:K117,7,FALSE)),VLOOKUP("9.4",A3:K117,7,FALSE),0)</f>
        <v>0.14177555178553697</v>
      </c>
      <c r="H115" s="23">
        <f>IF(ISNUMBER(VLOOKUP("9.6.1",A3:K117,8,FALSE)),VLOOKUP("9.6.1",A3:K117,8,FALSE),0) - IF(ISNUMBER(VLOOKUP("9.4",A3:K117,8,FALSE)),VLOOKUP("9.4",A3:K117,8,FALSE),0)</f>
        <v>0.13253869995826778</v>
      </c>
      <c r="I115" s="23">
        <f>IF(ISNUMBER(VLOOKUP("9.6.1",A3:K117,9,FALSE)),VLOOKUP("9.6.1",A3:K117,9,FALSE),0) - IF(ISNUMBER(VLOOKUP("9.4",A3:K117,9,FALSE)),VLOOKUP("9.4",A3:K117,9,FALSE),0)</f>
        <v>0.12331652941597576</v>
      </c>
      <c r="J115" s="23">
        <f>IF(ISNUMBER(VLOOKUP("9.6.1",A3:K117,10,FALSE)),VLOOKUP("9.6.1",A3:K117,10,FALSE),0) - IF(ISNUMBER(VLOOKUP("9.4",A3:K117,10,FALSE)),VLOOKUP("9.4",A3:K117,10,FALSE),0)</f>
        <v>3.2108352833719239E-2</v>
      </c>
      <c r="K115" s="23">
        <f>IF(ISNUMBER(VLOOKUP("9.6.1",A3:K117,11,FALSE)),VLOOKUP("9.6.1",A3:K117,11,FALSE),0) - IF(ISNUMBER(VLOOKUP("9.4",A3:K117,11,FALSE)),VLOOKUP("9.4",A3:K117,11,FALSE),0)</f>
        <v>4.4250113121122037E-2</v>
      </c>
    </row>
    <row r="116" spans="1:11" hidden="1" x14ac:dyDescent="0.25">
      <c r="A116" s="24" t="s">
        <v>227</v>
      </c>
      <c r="B116" s="25" t="s">
        <v>228</v>
      </c>
      <c r="C116" s="26">
        <f>IF(ISNUMBER(VLOOKUP("3",A3:K117,3,FALSE)),VLOOKUP("3",A3:K117,3,FALSE),0) + IF(ISNUMBER(VLOOKUP("4",A3:K117,3,FALSE)),VLOOKUP("4",A3:K117,3,FALSE),0) - IF(ISNUMBER(VLOOKUP("5",A3:K117,3,FALSE)),VLOOKUP("5",A3:K117,3,FALSE),0)</f>
        <v>5955668.7699999977</v>
      </c>
      <c r="D116" s="26">
        <f>IF(ISNUMBER(VLOOKUP("3",A3:K117,4,FALSE)),VLOOKUP("3",A3:K117,4,FALSE),0) + IF(ISNUMBER(VLOOKUP("4",A3:K117,4,FALSE)),VLOOKUP("4",A3:K117,4,FALSE),0) - IF(ISNUMBER(VLOOKUP("5",A3:K117,4,FALSE)),VLOOKUP("5",A3:K117,4,FALSE),0)</f>
        <v>4372388.7099999934</v>
      </c>
      <c r="E116" s="26">
        <f>IF(ISNUMBER(VLOOKUP("3",A3:K117,5,FALSE)),VLOOKUP("3",A3:K117,5,FALSE),0) + IF(ISNUMBER(VLOOKUP("4",A3:K117,5,FALSE)),VLOOKUP("4",A3:K117,5,FALSE),0) - IF(ISNUMBER(VLOOKUP("5",A3:K117,5,FALSE)),VLOOKUP("5",A3:K117,5,FALSE),0)</f>
        <v>0</v>
      </c>
      <c r="F116" s="26">
        <f>IF(ISNUMBER(VLOOKUP("3",A3:K117,6,FALSE)),VLOOKUP("3",A3:K117,6,FALSE),0) + IF(ISNUMBER(VLOOKUP("4",A3:K117,6,FALSE)),VLOOKUP("4",A3:K117,6,FALSE),0) - IF(ISNUMBER(VLOOKUP("5",A3:K117,6,FALSE)),VLOOKUP("5",A3:K117,6,FALSE),0)</f>
        <v>7474849.0099999905</v>
      </c>
      <c r="G116" s="26">
        <f>IF(ISNUMBER(VLOOKUP("3",A3:K117,7,FALSE)),VLOOKUP("3",A3:K117,7,FALSE),0) + IF(ISNUMBER(VLOOKUP("4",A3:K117,7,FALSE)),VLOOKUP("4",A3:K117,7,FALSE),0) - IF(ISNUMBER(VLOOKUP("5",A3:K117,7,FALSE)),VLOOKUP("5",A3:K117,7,FALSE),0)</f>
        <v>0</v>
      </c>
      <c r="H116" s="26">
        <f>IF(ISNUMBER(VLOOKUP("3",A3:K117,8,FALSE)),VLOOKUP("3",A3:K117,8,FALSE),0) + IF(ISNUMBER(VLOOKUP("4",A3:K117,8,FALSE)),VLOOKUP("4",A3:K117,8,FALSE),0) - IF(ISNUMBER(VLOOKUP("5",A3:K117,8,FALSE)),VLOOKUP("5",A3:K117,8,FALSE),0)</f>
        <v>0</v>
      </c>
      <c r="I116" s="26">
        <f>IF(ISNUMBER(VLOOKUP("3",A3:K117,9,FALSE)),VLOOKUP("3",A3:K117,9,FALSE),0) + IF(ISNUMBER(VLOOKUP("4",A3:K117,9,FALSE)),VLOOKUP("4",A3:K117,9,FALSE),0) - IF(ISNUMBER(VLOOKUP("5",A3:K117,9,FALSE)),VLOOKUP("5",A3:K117,9,FALSE),0)</f>
        <v>0</v>
      </c>
      <c r="J116" s="26">
        <f>IF(ISNUMBER(VLOOKUP("3",A3:K117,10,FALSE)),VLOOKUP("3",A3:K117,10,FALSE),0) + IF(ISNUMBER(VLOOKUP("4",A3:K117,10,FALSE)),VLOOKUP("4",A3:K117,10,FALSE),0) - IF(ISNUMBER(VLOOKUP("5",A3:K117,10,FALSE)),VLOOKUP("5",A3:K117,10,FALSE),0)</f>
        <v>1863450.7899999991</v>
      </c>
      <c r="K116" s="26">
        <f>IF(ISNUMBER(VLOOKUP("3",A3:K117,11,FALSE)),VLOOKUP("3",A3:K117,11,FALSE),0) + IF(ISNUMBER(VLOOKUP("4",A3:K117,11,FALSE)),VLOOKUP("4",A3:K117,11,FALSE),0) - IF(ISNUMBER(VLOOKUP("5",A3:K117,11,FALSE)),VLOOKUP("5",A3:K117,11,FALSE),0)</f>
        <v>3373042.9399999995</v>
      </c>
    </row>
  </sheetData>
  <mergeCells count="8">
    <mergeCell ref="C100:K100"/>
    <mergeCell ref="C108:K108"/>
    <mergeCell ref="C112:K112"/>
    <mergeCell ref="C46:K46"/>
    <mergeCell ref="C49:K49"/>
    <mergeCell ref="C61:K61"/>
    <mergeCell ref="C71:K71"/>
    <mergeCell ref="C92:K92"/>
  </mergeCells>
  <conditionalFormatting sqref="B57:K57">
    <cfRule type="beginsWith" dxfId="7" priority="1" operator="beginsWith" text="Tak">
      <formula>LEFT(B57,LEN("Tak"))="Tak"</formula>
    </cfRule>
    <cfRule type="beginsWith" dxfId="6" priority="2" operator="beginsWith" text="Nie">
      <formula>LEFT(B57,LEN("Nie"))="Nie"</formula>
    </cfRule>
  </conditionalFormatting>
  <conditionalFormatting sqref="B58:K58">
    <cfRule type="beginsWith" dxfId="5" priority="3" operator="beginsWith" text="Tak">
      <formula>LEFT(B58,LEN("Tak"))="Tak"</formula>
    </cfRule>
    <cfRule type="beginsWith" dxfId="4" priority="4" operator="beginsWith" text="Nie">
      <formula>LEFT(B58,LEN("Nie"))="Nie"</formula>
    </cfRule>
  </conditionalFormatting>
  <conditionalFormatting sqref="B59:K59">
    <cfRule type="beginsWith" dxfId="3" priority="5" operator="beginsWith" text="Tak">
      <formula>LEFT(B59,LEN("Tak"))="Tak"</formula>
    </cfRule>
    <cfRule type="beginsWith" dxfId="2" priority="6" operator="beginsWith" text="Nie">
      <formula>LEFT(B59,LEN("Nie"))="Nie"</formula>
    </cfRule>
  </conditionalFormatting>
  <conditionalFormatting sqref="B60:K60">
    <cfRule type="beginsWith" dxfId="1" priority="7" operator="beginsWith" text="Tak">
      <formula>LEFT(B60,LEN("Tak"))="Tak"</formula>
    </cfRule>
    <cfRule type="beginsWith" dxfId="0" priority="8" operator="beginsWith" text="Nie">
      <formula>LEFT(B60,LEN("Nie"))="Nie"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Załącznik 1</dc:subject>
  <dc:creator>http://www.curulis.pl</dc:creator>
  <cp:keywords>wpf, curulis, wieloletnia prognoza finansowa, wpf asystent</cp:keywords>
  <cp:lastModifiedBy>Izabela Fiedukowicz-Pabin</cp:lastModifiedBy>
  <dcterms:modified xsi:type="dcterms:W3CDTF">2018-09-03T12:08:44Z</dcterms:modified>
</cp:coreProperties>
</file>